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HP\Desktop\Quality Estimation\01-2024\04-01-2024  10 WEST 17TH STREET, NEW YORK, NY 10011\"/>
    </mc:Choice>
  </mc:AlternateContent>
  <xr:revisionPtr revIDLastSave="0" documentId="13_ncr:1_{0726DFCF-F789-4727-A433-16AD7C897F6B}" xr6:coauthVersionLast="36" xr6:coauthVersionMax="36" xr10:uidLastSave="{00000000-0000-0000-0000-000000000000}"/>
  <bookViews>
    <workbookView xWindow="20370" yWindow="-120" windowWidth="29040" windowHeight="15840" tabRatio="827" activeTab="1" xr2:uid="{00000000-000D-0000-FFFF-FFFF00000000}"/>
  </bookViews>
  <sheets>
    <sheet name="SUMMARY" sheetId="3" r:id="rId1"/>
    <sheet name="ESTIMATE" sheetId="2" r:id="rId2"/>
  </sheets>
  <definedNames>
    <definedName name="_xlnm._FilterDatabase" localSheetId="1" hidden="1">ESTIMATE!#REF!</definedName>
    <definedName name="_xlnm.Print_Area" localSheetId="1">ESTIMATE!$A$1:$P$1010</definedName>
    <definedName name="_xlnm.Print_Area" localSheetId="0">SUMMARY!$A$1:$M$42</definedName>
    <definedName name="_xlnm.Print_Titles" localSheetId="1">ESTIMATE!$5:$5</definedName>
    <definedName name="_xlnm.Print_Titles" localSheetId="0">SUMMARY!$7:$7</definedName>
    <definedName name="Z_5D814AB1_BC97_4AEA_A097_E3C150B3E44D_.wvu.PrintArea" localSheetId="1" hidden="1">ESTIMATE!$A$1:$P$1010</definedName>
    <definedName name="Z_5D814AB1_BC97_4AEA_A097_E3C150B3E44D_.wvu.PrintArea" localSheetId="0" hidden="1">SUMMARY!$A$1:$M$42</definedName>
    <definedName name="Z_5D814AB1_BC97_4AEA_A097_E3C150B3E44D_.wvu.PrintTitles" localSheetId="1" hidden="1">ESTIMATE!$5:$5</definedName>
    <definedName name="Z_5D814AB1_BC97_4AEA_A097_E3C150B3E44D_.wvu.PrintTitles" localSheetId="0" hidden="1">SUMMARY!$7:$7</definedName>
  </definedNames>
  <calcPr calcId="191029"/>
  <customWorkbookViews>
    <customWorkbookView name="7" guid="{5D814AB1-BC97-4AEA-A097-E3C150B3E44D}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274" i="2" l="1"/>
  <c r="A274" i="2" l="1"/>
  <c r="K274" i="2"/>
  <c r="M274" i="2" s="1"/>
  <c r="I274" i="2"/>
  <c r="K33" i="3"/>
  <c r="K29" i="3"/>
  <c r="K28" i="3"/>
  <c r="K27" i="3"/>
  <c r="K25" i="3"/>
  <c r="K23" i="3"/>
  <c r="K21" i="3"/>
  <c r="K19" i="3"/>
  <c r="K16" i="3"/>
  <c r="K15" i="3"/>
  <c r="K13" i="3"/>
  <c r="A999" i="2"/>
  <c r="A851" i="2"/>
  <c r="A877" i="2"/>
  <c r="A883" i="2"/>
  <c r="A932" i="2"/>
  <c r="A949" i="2"/>
  <c r="A692" i="2"/>
  <c r="A778" i="2"/>
  <c r="A786" i="2"/>
  <c r="A827" i="2"/>
  <c r="A829" i="2"/>
  <c r="A538" i="2"/>
  <c r="A550" i="2"/>
  <c r="A555" i="2"/>
  <c r="A573" i="2"/>
  <c r="A590" i="2"/>
  <c r="A624" i="2"/>
  <c r="A502" i="2"/>
  <c r="A505" i="2"/>
  <c r="A509" i="2"/>
  <c r="A489" i="2"/>
  <c r="A475" i="2"/>
  <c r="A481" i="2"/>
  <c r="A392" i="2"/>
  <c r="A405" i="2"/>
  <c r="A416" i="2"/>
  <c r="A425" i="2"/>
  <c r="A428" i="2"/>
  <c r="A434" i="2"/>
  <c r="A328" i="2"/>
  <c r="A376" i="2"/>
  <c r="A378" i="2"/>
  <c r="A294" i="2"/>
  <c r="A301" i="2"/>
  <c r="A303" i="2"/>
  <c r="A308" i="2"/>
  <c r="A267" i="2"/>
  <c r="A268" i="2" s="1"/>
  <c r="A266" i="2"/>
  <c r="A172" i="2"/>
  <c r="A173" i="2" s="1"/>
  <c r="A179" i="2"/>
  <c r="A182" i="2"/>
  <c r="A256" i="2"/>
  <c r="A260" i="2"/>
  <c r="A171" i="2"/>
  <c r="A159" i="2"/>
  <c r="A160" i="2" s="1"/>
  <c r="A158" i="2"/>
  <c r="A29" i="2"/>
  <c r="A30" i="2" s="1"/>
  <c r="A37" i="2"/>
  <c r="A75" i="2"/>
  <c r="A90" i="2"/>
  <c r="A134" i="2"/>
  <c r="A146" i="2"/>
  <c r="A148" i="2"/>
  <c r="A28" i="2"/>
  <c r="F147" i="2"/>
  <c r="K147" i="2" s="1"/>
  <c r="M147" i="2" s="1"/>
  <c r="K1000" i="2"/>
  <c r="M1000" i="2" s="1"/>
  <c r="F1000" i="2"/>
  <c r="I1000" i="2" s="1"/>
  <c r="F998" i="2"/>
  <c r="A997" i="2"/>
  <c r="A996" i="2"/>
  <c r="A995" i="2"/>
  <c r="P994" i="2"/>
  <c r="A491" i="2"/>
  <c r="F490" i="2"/>
  <c r="I490" i="2" s="1"/>
  <c r="F488" i="2"/>
  <c r="F487" i="2"/>
  <c r="I487" i="2" s="1"/>
  <c r="A486" i="2"/>
  <c r="A485" i="2"/>
  <c r="F480" i="2"/>
  <c r="I480" i="2" s="1"/>
  <c r="F479" i="2"/>
  <c r="I479" i="2" s="1"/>
  <c r="F478" i="2"/>
  <c r="I478" i="2" s="1"/>
  <c r="F477" i="2"/>
  <c r="I477" i="2" s="1"/>
  <c r="F476" i="2"/>
  <c r="I476" i="2" s="1"/>
  <c r="F474" i="2"/>
  <c r="F473" i="2"/>
  <c r="K473" i="2" s="1"/>
  <c r="M473" i="2" s="1"/>
  <c r="F472" i="2"/>
  <c r="F471" i="2"/>
  <c r="I471" i="2" s="1"/>
  <c r="F470" i="2"/>
  <c r="F469" i="2"/>
  <c r="K469" i="2" s="1"/>
  <c r="M469" i="2" s="1"/>
  <c r="F468" i="2"/>
  <c r="F467" i="2"/>
  <c r="K467" i="2" s="1"/>
  <c r="M467" i="2" s="1"/>
  <c r="F466" i="2"/>
  <c r="F465" i="2"/>
  <c r="K465" i="2" s="1"/>
  <c r="M465" i="2" s="1"/>
  <c r="F464" i="2"/>
  <c r="A463" i="2"/>
  <c r="A460" i="2"/>
  <c r="F459" i="2"/>
  <c r="K459" i="2" s="1"/>
  <c r="M459" i="2" s="1"/>
  <c r="F458" i="2"/>
  <c r="F457" i="2"/>
  <c r="K457" i="2" s="1"/>
  <c r="M457" i="2" s="1"/>
  <c r="F456" i="2"/>
  <c r="F455" i="2"/>
  <c r="K455" i="2" s="1"/>
  <c r="M455" i="2" s="1"/>
  <c r="F454" i="2"/>
  <c r="A453" i="2"/>
  <c r="A452" i="2"/>
  <c r="A450" i="2"/>
  <c r="F449" i="2"/>
  <c r="I449" i="2" s="1"/>
  <c r="F448" i="2"/>
  <c r="F447" i="2"/>
  <c r="I447" i="2" s="1"/>
  <c r="F446" i="2"/>
  <c r="F445" i="2"/>
  <c r="I445" i="2" s="1"/>
  <c r="F444" i="2"/>
  <c r="K444" i="2" s="1"/>
  <c r="M444" i="2" s="1"/>
  <c r="F443" i="2"/>
  <c r="K443" i="2" s="1"/>
  <c r="M443" i="2" s="1"/>
  <c r="F442" i="2"/>
  <c r="K442" i="2" s="1"/>
  <c r="M442" i="2" s="1"/>
  <c r="F441" i="2"/>
  <c r="A440" i="2"/>
  <c r="A439" i="2"/>
  <c r="F433" i="2"/>
  <c r="F432" i="2"/>
  <c r="K432" i="2" s="1"/>
  <c r="M432" i="2" s="1"/>
  <c r="F404" i="2"/>
  <c r="K404" i="2" s="1"/>
  <c r="M404" i="2" s="1"/>
  <c r="F403" i="2"/>
  <c r="K403" i="2" s="1"/>
  <c r="M403" i="2" s="1"/>
  <c r="D402" i="2"/>
  <c r="F402" i="2" s="1"/>
  <c r="F401" i="2"/>
  <c r="K401" i="2" s="1"/>
  <c r="M401" i="2" s="1"/>
  <c r="D401" i="2"/>
  <c r="D400" i="2"/>
  <c r="F400" i="2" s="1"/>
  <c r="D399" i="2"/>
  <c r="F399" i="2" s="1"/>
  <c r="I399" i="2" s="1"/>
  <c r="D398" i="2"/>
  <c r="F398" i="2" s="1"/>
  <c r="D397" i="2"/>
  <c r="F397" i="2" s="1"/>
  <c r="K397" i="2" s="1"/>
  <c r="M397" i="2" s="1"/>
  <c r="D396" i="2"/>
  <c r="F396" i="2" s="1"/>
  <c r="D395" i="2"/>
  <c r="F395" i="2" s="1"/>
  <c r="F394" i="2"/>
  <c r="K394" i="2" s="1"/>
  <c r="M394" i="2" s="1"/>
  <c r="F393" i="2"/>
  <c r="K393" i="2" s="1"/>
  <c r="M393" i="2" s="1"/>
  <c r="F391" i="2"/>
  <c r="I391" i="2" s="1"/>
  <c r="F390" i="2"/>
  <c r="D389" i="2"/>
  <c r="F389" i="2" s="1"/>
  <c r="D388" i="2"/>
  <c r="F388" i="2" s="1"/>
  <c r="D387" i="2"/>
  <c r="F387" i="2" s="1"/>
  <c r="K387" i="2" s="1"/>
  <c r="M387" i="2" s="1"/>
  <c r="D386" i="2"/>
  <c r="F386" i="2" s="1"/>
  <c r="D385" i="2"/>
  <c r="F385" i="2" s="1"/>
  <c r="F384" i="2"/>
  <c r="K384" i="2" s="1"/>
  <c r="M384" i="2" s="1"/>
  <c r="A383" i="2"/>
  <c r="A380" i="2"/>
  <c r="F379" i="2"/>
  <c r="K379" i="2" s="1"/>
  <c r="M379" i="2" s="1"/>
  <c r="F377" i="2"/>
  <c r="I377" i="2" s="1"/>
  <c r="F375" i="2"/>
  <c r="F374" i="2"/>
  <c r="K374" i="2" s="1"/>
  <c r="M374" i="2" s="1"/>
  <c r="F373" i="2"/>
  <c r="F372" i="2"/>
  <c r="K372" i="2" s="1"/>
  <c r="M372" i="2" s="1"/>
  <c r="F371" i="2"/>
  <c r="F370" i="2"/>
  <c r="K370" i="2" s="1"/>
  <c r="M370" i="2" s="1"/>
  <c r="F369" i="2"/>
  <c r="F368" i="2"/>
  <c r="K368" i="2" s="1"/>
  <c r="M368" i="2" s="1"/>
  <c r="F367" i="2"/>
  <c r="F366" i="2"/>
  <c r="K366" i="2" s="1"/>
  <c r="M366" i="2" s="1"/>
  <c r="F365" i="2"/>
  <c r="F364" i="2"/>
  <c r="K364" i="2" s="1"/>
  <c r="M364" i="2" s="1"/>
  <c r="F363" i="2"/>
  <c r="F362" i="2"/>
  <c r="K362" i="2" s="1"/>
  <c r="M362" i="2" s="1"/>
  <c r="F361" i="2"/>
  <c r="F360" i="2"/>
  <c r="K360" i="2" s="1"/>
  <c r="M360" i="2" s="1"/>
  <c r="F359" i="2"/>
  <c r="F358" i="2"/>
  <c r="K358" i="2" s="1"/>
  <c r="M358" i="2" s="1"/>
  <c r="F357" i="2"/>
  <c r="F356" i="2"/>
  <c r="K356" i="2" s="1"/>
  <c r="M356" i="2" s="1"/>
  <c r="F355" i="2"/>
  <c r="F354" i="2"/>
  <c r="K354" i="2" s="1"/>
  <c r="M354" i="2" s="1"/>
  <c r="F353" i="2"/>
  <c r="F352" i="2"/>
  <c r="K352" i="2" s="1"/>
  <c r="M352" i="2" s="1"/>
  <c r="F351" i="2"/>
  <c r="F350" i="2"/>
  <c r="K350" i="2" s="1"/>
  <c r="M350" i="2" s="1"/>
  <c r="F349" i="2"/>
  <c r="F348" i="2"/>
  <c r="K348" i="2" s="1"/>
  <c r="M348" i="2" s="1"/>
  <c r="F347" i="2"/>
  <c r="F346" i="2"/>
  <c r="K346" i="2" s="1"/>
  <c r="M346" i="2" s="1"/>
  <c r="F345" i="2"/>
  <c r="F344" i="2"/>
  <c r="K344" i="2" s="1"/>
  <c r="M344" i="2" s="1"/>
  <c r="F343" i="2"/>
  <c r="F342" i="2"/>
  <c r="K342" i="2" s="1"/>
  <c r="M342" i="2" s="1"/>
  <c r="F341" i="2"/>
  <c r="F340" i="2"/>
  <c r="K340" i="2" s="1"/>
  <c r="M340" i="2" s="1"/>
  <c r="F339" i="2"/>
  <c r="F338" i="2"/>
  <c r="K338" i="2" s="1"/>
  <c r="M338" i="2" s="1"/>
  <c r="F337" i="2"/>
  <c r="F336" i="2"/>
  <c r="K336" i="2" s="1"/>
  <c r="M336" i="2" s="1"/>
  <c r="F335" i="2"/>
  <c r="F334" i="2"/>
  <c r="K334" i="2" s="1"/>
  <c r="M334" i="2" s="1"/>
  <c r="I333" i="2"/>
  <c r="F333" i="2"/>
  <c r="F332" i="2"/>
  <c r="I332" i="2" s="1"/>
  <c r="F331" i="2"/>
  <c r="I331" i="2" s="1"/>
  <c r="F330" i="2"/>
  <c r="K330" i="2" s="1"/>
  <c r="M330" i="2" s="1"/>
  <c r="F329" i="2"/>
  <c r="I329" i="2" s="1"/>
  <c r="F327" i="2"/>
  <c r="F326" i="2"/>
  <c r="I326" i="2" s="1"/>
  <c r="F325" i="2"/>
  <c r="F324" i="2"/>
  <c r="K324" i="2" s="1"/>
  <c r="M324" i="2" s="1"/>
  <c r="F323" i="2"/>
  <c r="F322" i="2"/>
  <c r="I322" i="2" s="1"/>
  <c r="F321" i="2"/>
  <c r="F320" i="2"/>
  <c r="K320" i="2" s="1"/>
  <c r="M320" i="2" s="1"/>
  <c r="F319" i="2"/>
  <c r="F318" i="2"/>
  <c r="K318" i="2" s="1"/>
  <c r="M318" i="2" s="1"/>
  <c r="F317" i="2"/>
  <c r="F316" i="2"/>
  <c r="K316" i="2" s="1"/>
  <c r="M316" i="2" s="1"/>
  <c r="F315" i="2"/>
  <c r="F314" i="2"/>
  <c r="K314" i="2" s="1"/>
  <c r="M314" i="2" s="1"/>
  <c r="A313" i="2"/>
  <c r="A312" i="2"/>
  <c r="F309" i="2"/>
  <c r="F300" i="2"/>
  <c r="I300" i="2" s="1"/>
  <c r="F299" i="2"/>
  <c r="K299" i="2" s="1"/>
  <c r="M299" i="2" s="1"/>
  <c r="F298" i="2"/>
  <c r="A287" i="2"/>
  <c r="K286" i="2"/>
  <c r="M286" i="2" s="1"/>
  <c r="F286" i="2"/>
  <c r="I286" i="2" s="1"/>
  <c r="F285" i="2"/>
  <c r="F284" i="2"/>
  <c r="I284" i="2" s="1"/>
  <c r="F283" i="2"/>
  <c r="F282" i="2"/>
  <c r="I282" i="2" s="1"/>
  <c r="F281" i="2"/>
  <c r="D280" i="2"/>
  <c r="F280" i="2" s="1"/>
  <c r="F279" i="2"/>
  <c r="K279" i="2" s="1"/>
  <c r="M279" i="2" s="1"/>
  <c r="D278" i="2"/>
  <c r="F278" i="2" s="1"/>
  <c r="F277" i="2"/>
  <c r="K277" i="2" s="1"/>
  <c r="M277" i="2" s="1"/>
  <c r="F276" i="2"/>
  <c r="F275" i="2"/>
  <c r="K275" i="2" s="1"/>
  <c r="M275" i="2" s="1"/>
  <c r="D273" i="2"/>
  <c r="F273" i="2" s="1"/>
  <c r="K273" i="2" s="1"/>
  <c r="M273" i="2" s="1"/>
  <c r="D272" i="2"/>
  <c r="F272" i="2" s="1"/>
  <c r="D271" i="2"/>
  <c r="F271" i="2" s="1"/>
  <c r="F270" i="2"/>
  <c r="I270" i="2" s="1"/>
  <c r="D269" i="2"/>
  <c r="F269" i="2" s="1"/>
  <c r="F268" i="2"/>
  <c r="I268" i="2" s="1"/>
  <c r="D267" i="2"/>
  <c r="F267" i="2" s="1"/>
  <c r="I267" i="2" s="1"/>
  <c r="F266" i="2"/>
  <c r="K266" i="2" s="1"/>
  <c r="M266" i="2" s="1"/>
  <c r="A265" i="2"/>
  <c r="A264" i="2"/>
  <c r="F261" i="2"/>
  <c r="F259" i="2"/>
  <c r="D258" i="2"/>
  <c r="F258" i="2" s="1"/>
  <c r="D257" i="2"/>
  <c r="F257" i="2" s="1"/>
  <c r="N274" i="2" l="1"/>
  <c r="A269" i="2"/>
  <c r="A174" i="2"/>
  <c r="A161" i="2"/>
  <c r="A31" i="2"/>
  <c r="K270" i="2"/>
  <c r="M270" i="2" s="1"/>
  <c r="I432" i="2"/>
  <c r="I465" i="2"/>
  <c r="I467" i="2"/>
  <c r="N467" i="2" s="1"/>
  <c r="I469" i="2"/>
  <c r="I473" i="2"/>
  <c r="K268" i="2"/>
  <c r="M268" i="2" s="1"/>
  <c r="K282" i="2"/>
  <c r="M282" i="2" s="1"/>
  <c r="N282" i="2" s="1"/>
  <c r="I330" i="2"/>
  <c r="K471" i="2"/>
  <c r="M471" i="2" s="1"/>
  <c r="K487" i="2"/>
  <c r="M487" i="2" s="1"/>
  <c r="N487" i="2" s="1"/>
  <c r="N1000" i="2"/>
  <c r="K284" i="2"/>
  <c r="M284" i="2" s="1"/>
  <c r="I384" i="2"/>
  <c r="K479" i="2"/>
  <c r="M479" i="2" s="1"/>
  <c r="N479" i="2" s="1"/>
  <c r="K449" i="2"/>
  <c r="M449" i="2" s="1"/>
  <c r="N449" i="2" s="1"/>
  <c r="I147" i="2"/>
  <c r="N147" i="2" s="1"/>
  <c r="I998" i="2"/>
  <c r="K998" i="2"/>
  <c r="M998" i="2" s="1"/>
  <c r="N998" i="2" s="1"/>
  <c r="I488" i="2"/>
  <c r="K490" i="2"/>
  <c r="M490" i="2" s="1"/>
  <c r="N490" i="2" s="1"/>
  <c r="K488" i="2"/>
  <c r="M488" i="2" s="1"/>
  <c r="K257" i="2"/>
  <c r="M257" i="2" s="1"/>
  <c r="I257" i="2"/>
  <c r="I395" i="2"/>
  <c r="K395" i="2"/>
  <c r="M395" i="2" s="1"/>
  <c r="N459" i="2"/>
  <c r="I385" i="2"/>
  <c r="K385" i="2"/>
  <c r="M385" i="2" s="1"/>
  <c r="I389" i="2"/>
  <c r="K389" i="2"/>
  <c r="M389" i="2" s="1"/>
  <c r="N268" i="2"/>
  <c r="I316" i="2"/>
  <c r="N330" i="2"/>
  <c r="K447" i="2"/>
  <c r="M447" i="2" s="1"/>
  <c r="N447" i="2" s="1"/>
  <c r="N465" i="2"/>
  <c r="N469" i="2"/>
  <c r="N471" i="2"/>
  <c r="N473" i="2"/>
  <c r="N286" i="2"/>
  <c r="I314" i="2"/>
  <c r="N314" i="2" s="1"/>
  <c r="I320" i="2"/>
  <c r="N320" i="2" s="1"/>
  <c r="I324" i="2"/>
  <c r="N324" i="2" s="1"/>
  <c r="I393" i="2"/>
  <c r="N393" i="2" s="1"/>
  <c r="N432" i="2"/>
  <c r="I275" i="2"/>
  <c r="N275" i="2" s="1"/>
  <c r="I277" i="2"/>
  <c r="N277" i="2" s="1"/>
  <c r="I279" i="2"/>
  <c r="N279" i="2" s="1"/>
  <c r="K322" i="2"/>
  <c r="M322" i="2" s="1"/>
  <c r="K326" i="2"/>
  <c r="M326" i="2" s="1"/>
  <c r="N326" i="2" s="1"/>
  <c r="K332" i="2"/>
  <c r="M332" i="2" s="1"/>
  <c r="N332" i="2" s="1"/>
  <c r="I334" i="2"/>
  <c r="N334" i="2" s="1"/>
  <c r="I336" i="2"/>
  <c r="N336" i="2" s="1"/>
  <c r="I338" i="2"/>
  <c r="N338" i="2" s="1"/>
  <c r="I340" i="2"/>
  <c r="N340" i="2" s="1"/>
  <c r="I342" i="2"/>
  <c r="N342" i="2" s="1"/>
  <c r="I344" i="2"/>
  <c r="N344" i="2" s="1"/>
  <c r="I346" i="2"/>
  <c r="N346" i="2" s="1"/>
  <c r="I348" i="2"/>
  <c r="N348" i="2" s="1"/>
  <c r="I350" i="2"/>
  <c r="N350" i="2" s="1"/>
  <c r="I352" i="2"/>
  <c r="N352" i="2" s="1"/>
  <c r="I354" i="2"/>
  <c r="N354" i="2" s="1"/>
  <c r="I356" i="2"/>
  <c r="N356" i="2" s="1"/>
  <c r="I358" i="2"/>
  <c r="N358" i="2" s="1"/>
  <c r="I360" i="2"/>
  <c r="N360" i="2" s="1"/>
  <c r="I362" i="2"/>
  <c r="N362" i="2" s="1"/>
  <c r="I364" i="2"/>
  <c r="N364" i="2" s="1"/>
  <c r="I366" i="2"/>
  <c r="N366" i="2" s="1"/>
  <c r="I368" i="2"/>
  <c r="N368" i="2" s="1"/>
  <c r="I370" i="2"/>
  <c r="N370" i="2" s="1"/>
  <c r="I372" i="2"/>
  <c r="N372" i="2" s="1"/>
  <c r="I374" i="2"/>
  <c r="N374" i="2" s="1"/>
  <c r="I379" i="2"/>
  <c r="N379" i="2" s="1"/>
  <c r="K391" i="2"/>
  <c r="M391" i="2" s="1"/>
  <c r="N391" i="2" s="1"/>
  <c r="I441" i="2"/>
  <c r="I443" i="2"/>
  <c r="N443" i="2" s="1"/>
  <c r="K445" i="2"/>
  <c r="M445" i="2" s="1"/>
  <c r="I455" i="2"/>
  <c r="N455" i="2" s="1"/>
  <c r="I457" i="2"/>
  <c r="N457" i="2" s="1"/>
  <c r="I459" i="2"/>
  <c r="N270" i="2"/>
  <c r="N284" i="2"/>
  <c r="I309" i="2"/>
  <c r="I318" i="2"/>
  <c r="K399" i="2"/>
  <c r="M399" i="2" s="1"/>
  <c r="I404" i="2"/>
  <c r="N404" i="2" s="1"/>
  <c r="I298" i="2"/>
  <c r="N384" i="2"/>
  <c r="I394" i="2"/>
  <c r="N394" i="2" s="1"/>
  <c r="I403" i="2"/>
  <c r="N403" i="2" s="1"/>
  <c r="K441" i="2"/>
  <c r="M441" i="2" s="1"/>
  <c r="N441" i="2" s="1"/>
  <c r="K477" i="2"/>
  <c r="M477" i="2" s="1"/>
  <c r="N477" i="2" s="1"/>
  <c r="I466" i="2"/>
  <c r="I474" i="2"/>
  <c r="K476" i="2"/>
  <c r="M476" i="2" s="1"/>
  <c r="N476" i="2" s="1"/>
  <c r="K478" i="2"/>
  <c r="M478" i="2" s="1"/>
  <c r="N478" i="2" s="1"/>
  <c r="K480" i="2"/>
  <c r="M480" i="2" s="1"/>
  <c r="N480" i="2" s="1"/>
  <c r="I468" i="2"/>
  <c r="I470" i="2"/>
  <c r="I472" i="2"/>
  <c r="K464" i="2"/>
  <c r="M464" i="2" s="1"/>
  <c r="N464" i="2" s="1"/>
  <c r="K466" i="2"/>
  <c r="M466" i="2" s="1"/>
  <c r="K468" i="2"/>
  <c r="M468" i="2" s="1"/>
  <c r="K470" i="2"/>
  <c r="M470" i="2" s="1"/>
  <c r="N470" i="2" s="1"/>
  <c r="K472" i="2"/>
  <c r="M472" i="2" s="1"/>
  <c r="K474" i="2"/>
  <c r="M474" i="2" s="1"/>
  <c r="N474" i="2" s="1"/>
  <c r="I464" i="2"/>
  <c r="N445" i="2"/>
  <c r="I442" i="2"/>
  <c r="N442" i="2" s="1"/>
  <c r="I444" i="2"/>
  <c r="N444" i="2" s="1"/>
  <c r="I446" i="2"/>
  <c r="I448" i="2"/>
  <c r="I454" i="2"/>
  <c r="I456" i="2"/>
  <c r="I458" i="2"/>
  <c r="K446" i="2"/>
  <c r="M446" i="2" s="1"/>
  <c r="K448" i="2"/>
  <c r="M448" i="2" s="1"/>
  <c r="K454" i="2"/>
  <c r="M454" i="2" s="1"/>
  <c r="K456" i="2"/>
  <c r="M456" i="2" s="1"/>
  <c r="K458" i="2"/>
  <c r="M458" i="2" s="1"/>
  <c r="I433" i="2"/>
  <c r="K433" i="2"/>
  <c r="M433" i="2" s="1"/>
  <c r="N389" i="2"/>
  <c r="I388" i="2"/>
  <c r="K388" i="2"/>
  <c r="M388" i="2" s="1"/>
  <c r="K398" i="2"/>
  <c r="M398" i="2" s="1"/>
  <c r="I398" i="2"/>
  <c r="K400" i="2"/>
  <c r="M400" i="2" s="1"/>
  <c r="N400" i="2" s="1"/>
  <c r="I400" i="2"/>
  <c r="K396" i="2"/>
  <c r="M396" i="2" s="1"/>
  <c r="N396" i="2" s="1"/>
  <c r="I396" i="2"/>
  <c r="K386" i="2"/>
  <c r="M386" i="2" s="1"/>
  <c r="N386" i="2" s="1"/>
  <c r="I386" i="2"/>
  <c r="N399" i="2"/>
  <c r="K402" i="2"/>
  <c r="M402" i="2" s="1"/>
  <c r="I402" i="2"/>
  <c r="I387" i="2"/>
  <c r="N387" i="2" s="1"/>
  <c r="I390" i="2"/>
  <c r="I397" i="2"/>
  <c r="N397" i="2" s="1"/>
  <c r="I401" i="2"/>
  <c r="N401" i="2" s="1"/>
  <c r="K390" i="2"/>
  <c r="M390" i="2" s="1"/>
  <c r="K339" i="2"/>
  <c r="M339" i="2" s="1"/>
  <c r="I339" i="2"/>
  <c r="I347" i="2"/>
  <c r="K347" i="2"/>
  <c r="M347" i="2" s="1"/>
  <c r="K315" i="2"/>
  <c r="M315" i="2" s="1"/>
  <c r="I315" i="2"/>
  <c r="N318" i="2"/>
  <c r="K323" i="2"/>
  <c r="M323" i="2" s="1"/>
  <c r="I323" i="2"/>
  <c r="I341" i="2"/>
  <c r="K341" i="2"/>
  <c r="M341" i="2" s="1"/>
  <c r="K357" i="2"/>
  <c r="M357" i="2" s="1"/>
  <c r="I357" i="2"/>
  <c r="I365" i="2"/>
  <c r="K365" i="2"/>
  <c r="M365" i="2" s="1"/>
  <c r="K373" i="2"/>
  <c r="M373" i="2" s="1"/>
  <c r="I373" i="2"/>
  <c r="K335" i="2"/>
  <c r="M335" i="2" s="1"/>
  <c r="I335" i="2"/>
  <c r="K343" i="2"/>
  <c r="M343" i="2" s="1"/>
  <c r="I343" i="2"/>
  <c r="K351" i="2"/>
  <c r="M351" i="2" s="1"/>
  <c r="I351" i="2"/>
  <c r="I359" i="2"/>
  <c r="K359" i="2"/>
  <c r="M359" i="2" s="1"/>
  <c r="N359" i="2" s="1"/>
  <c r="K367" i="2"/>
  <c r="M367" i="2" s="1"/>
  <c r="I367" i="2"/>
  <c r="K375" i="2"/>
  <c r="M375" i="2" s="1"/>
  <c r="I375" i="2"/>
  <c r="K317" i="2"/>
  <c r="M317" i="2" s="1"/>
  <c r="I317" i="2"/>
  <c r="K325" i="2"/>
  <c r="M325" i="2" s="1"/>
  <c r="I325" i="2"/>
  <c r="K355" i="2"/>
  <c r="M355" i="2" s="1"/>
  <c r="I355" i="2"/>
  <c r="K363" i="2"/>
  <c r="M363" i="2" s="1"/>
  <c r="I363" i="2"/>
  <c r="K371" i="2"/>
  <c r="M371" i="2" s="1"/>
  <c r="I371" i="2"/>
  <c r="K349" i="2"/>
  <c r="M349" i="2" s="1"/>
  <c r="I349" i="2"/>
  <c r="N316" i="2"/>
  <c r="K321" i="2"/>
  <c r="M321" i="2" s="1"/>
  <c r="I321" i="2"/>
  <c r="K319" i="2"/>
  <c r="M319" i="2" s="1"/>
  <c r="I319" i="2"/>
  <c r="N322" i="2"/>
  <c r="K327" i="2"/>
  <c r="M327" i="2" s="1"/>
  <c r="I327" i="2"/>
  <c r="K329" i="2"/>
  <c r="M329" i="2" s="1"/>
  <c r="N329" i="2" s="1"/>
  <c r="K331" i="2"/>
  <c r="M331" i="2" s="1"/>
  <c r="N331" i="2" s="1"/>
  <c r="K333" i="2"/>
  <c r="M333" i="2" s="1"/>
  <c r="N333" i="2" s="1"/>
  <c r="K337" i="2"/>
  <c r="M337" i="2" s="1"/>
  <c r="I337" i="2"/>
  <c r="K345" i="2"/>
  <c r="M345" i="2" s="1"/>
  <c r="I345" i="2"/>
  <c r="I353" i="2"/>
  <c r="K353" i="2"/>
  <c r="M353" i="2" s="1"/>
  <c r="K361" i="2"/>
  <c r="M361" i="2" s="1"/>
  <c r="I361" i="2"/>
  <c r="K369" i="2"/>
  <c r="M369" i="2" s="1"/>
  <c r="I369" i="2"/>
  <c r="K377" i="2"/>
  <c r="M377" i="2" s="1"/>
  <c r="N377" i="2" s="1"/>
  <c r="K309" i="2"/>
  <c r="M309" i="2" s="1"/>
  <c r="K298" i="2"/>
  <c r="M298" i="2" s="1"/>
  <c r="N298" i="2" s="1"/>
  <c r="K300" i="2"/>
  <c r="M300" i="2" s="1"/>
  <c r="N300" i="2" s="1"/>
  <c r="I299" i="2"/>
  <c r="N299" i="2" s="1"/>
  <c r="K272" i="2"/>
  <c r="M272" i="2" s="1"/>
  <c r="N272" i="2" s="1"/>
  <c r="I272" i="2"/>
  <c r="K278" i="2"/>
  <c r="M278" i="2" s="1"/>
  <c r="I278" i="2"/>
  <c r="I280" i="2"/>
  <c r="K280" i="2"/>
  <c r="M280" i="2" s="1"/>
  <c r="K269" i="2"/>
  <c r="M269" i="2" s="1"/>
  <c r="I269" i="2"/>
  <c r="I271" i="2"/>
  <c r="K271" i="2"/>
  <c r="M271" i="2" s="1"/>
  <c r="I276" i="2"/>
  <c r="I273" i="2"/>
  <c r="N273" i="2" s="1"/>
  <c r="I283" i="2"/>
  <c r="I266" i="2"/>
  <c r="N266" i="2" s="1"/>
  <c r="K267" i="2"/>
  <c r="M267" i="2" s="1"/>
  <c r="N267" i="2" s="1"/>
  <c r="K276" i="2"/>
  <c r="M276" i="2" s="1"/>
  <c r="K281" i="2"/>
  <c r="M281" i="2" s="1"/>
  <c r="K283" i="2"/>
  <c r="M283" i="2" s="1"/>
  <c r="K285" i="2"/>
  <c r="M285" i="2" s="1"/>
  <c r="I281" i="2"/>
  <c r="I285" i="2"/>
  <c r="I258" i="2"/>
  <c r="K258" i="2"/>
  <c r="M258" i="2" s="1"/>
  <c r="I261" i="2"/>
  <c r="K261" i="2"/>
  <c r="M261" i="2" s="1"/>
  <c r="N261" i="2" s="1"/>
  <c r="I259" i="2"/>
  <c r="K259" i="2"/>
  <c r="M259" i="2" s="1"/>
  <c r="F986" i="2"/>
  <c r="I986" i="2" s="1"/>
  <c r="F985" i="2"/>
  <c r="I985" i="2" s="1"/>
  <c r="F984" i="2"/>
  <c r="I984" i="2" s="1"/>
  <c r="F983" i="2"/>
  <c r="I982" i="2"/>
  <c r="F982" i="2"/>
  <c r="F981" i="2"/>
  <c r="I981" i="2" s="1"/>
  <c r="F980" i="2"/>
  <c r="I980" i="2" s="1"/>
  <c r="F979" i="2"/>
  <c r="F978" i="2"/>
  <c r="I978" i="2" s="1"/>
  <c r="F977" i="2"/>
  <c r="F976" i="2"/>
  <c r="I976" i="2" s="1"/>
  <c r="F975" i="2"/>
  <c r="F974" i="2"/>
  <c r="I974" i="2" s="1"/>
  <c r="F973" i="2"/>
  <c r="I973" i="2" s="1"/>
  <c r="F972" i="2"/>
  <c r="I972" i="2" s="1"/>
  <c r="F971" i="2"/>
  <c r="I971" i="2" s="1"/>
  <c r="F970" i="2"/>
  <c r="I970" i="2" s="1"/>
  <c r="F969" i="2"/>
  <c r="I969" i="2" s="1"/>
  <c r="F968" i="2"/>
  <c r="I968" i="2" s="1"/>
  <c r="F967" i="2"/>
  <c r="I966" i="2"/>
  <c r="F966" i="2"/>
  <c r="F965" i="2"/>
  <c r="I965" i="2" s="1"/>
  <c r="F964" i="2"/>
  <c r="I964" i="2" s="1"/>
  <c r="F963" i="2"/>
  <c r="F962" i="2"/>
  <c r="F961" i="2"/>
  <c r="F960" i="2"/>
  <c r="I960" i="2" s="1"/>
  <c r="A959" i="2"/>
  <c r="A958" i="2"/>
  <c r="A956" i="2"/>
  <c r="A955" i="2"/>
  <c r="F954" i="2"/>
  <c r="F953" i="2"/>
  <c r="K953" i="2" s="1"/>
  <c r="M953" i="2" s="1"/>
  <c r="F952" i="2"/>
  <c r="F951" i="2"/>
  <c r="K951" i="2" s="1"/>
  <c r="M951" i="2" s="1"/>
  <c r="F950" i="2"/>
  <c r="F948" i="2"/>
  <c r="K948" i="2" s="1"/>
  <c r="M948" i="2" s="1"/>
  <c r="F947" i="2"/>
  <c r="K947" i="2" s="1"/>
  <c r="M947" i="2" s="1"/>
  <c r="F946" i="2"/>
  <c r="F945" i="2"/>
  <c r="K945" i="2" s="1"/>
  <c r="M945" i="2" s="1"/>
  <c r="F944" i="2"/>
  <c r="F943" i="2"/>
  <c r="K943" i="2" s="1"/>
  <c r="M943" i="2" s="1"/>
  <c r="F942" i="2"/>
  <c r="K942" i="2" s="1"/>
  <c r="M942" i="2" s="1"/>
  <c r="I941" i="2"/>
  <c r="F941" i="2"/>
  <c r="K941" i="2" s="1"/>
  <c r="M941" i="2" s="1"/>
  <c r="F940" i="2"/>
  <c r="K940" i="2" s="1"/>
  <c r="M940" i="2" s="1"/>
  <c r="F939" i="2"/>
  <c r="M938" i="2"/>
  <c r="F938" i="2"/>
  <c r="K938" i="2" s="1"/>
  <c r="F937" i="2"/>
  <c r="F936" i="2"/>
  <c r="K936" i="2" s="1"/>
  <c r="M936" i="2" s="1"/>
  <c r="F935" i="2"/>
  <c r="M934" i="2"/>
  <c r="F934" i="2"/>
  <c r="K934" i="2" s="1"/>
  <c r="F933" i="2"/>
  <c r="F931" i="2"/>
  <c r="F930" i="2"/>
  <c r="F929" i="2"/>
  <c r="F928" i="2"/>
  <c r="F927" i="2"/>
  <c r="F926" i="2"/>
  <c r="I926" i="2" s="1"/>
  <c r="F925" i="2"/>
  <c r="F924" i="2"/>
  <c r="F923" i="2"/>
  <c r="F922" i="2"/>
  <c r="I922" i="2" s="1"/>
  <c r="F921" i="2"/>
  <c r="F920" i="2"/>
  <c r="F919" i="2"/>
  <c r="K918" i="2"/>
  <c r="M918" i="2" s="1"/>
  <c r="N918" i="2" s="1"/>
  <c r="F918" i="2"/>
  <c r="I918" i="2" s="1"/>
  <c r="F917" i="2"/>
  <c r="F916" i="2"/>
  <c r="I916" i="2" s="1"/>
  <c r="F915" i="2"/>
  <c r="F914" i="2"/>
  <c r="I914" i="2" s="1"/>
  <c r="F913" i="2"/>
  <c r="F912" i="2"/>
  <c r="F911" i="2"/>
  <c r="F910" i="2"/>
  <c r="K910" i="2" s="1"/>
  <c r="M910" i="2" s="1"/>
  <c r="F909" i="2"/>
  <c r="F908" i="2"/>
  <c r="F907" i="2"/>
  <c r="K906" i="2"/>
  <c r="M906" i="2" s="1"/>
  <c r="N906" i="2" s="1"/>
  <c r="F906" i="2"/>
  <c r="I906" i="2" s="1"/>
  <c r="F905" i="2"/>
  <c r="F904" i="2"/>
  <c r="F903" i="2"/>
  <c r="F902" i="2"/>
  <c r="F901" i="2"/>
  <c r="F900" i="2"/>
  <c r="I900" i="2" s="1"/>
  <c r="F899" i="2"/>
  <c r="F898" i="2"/>
  <c r="I898" i="2" s="1"/>
  <c r="F897" i="2"/>
  <c r="F896" i="2"/>
  <c r="F895" i="2"/>
  <c r="K894" i="2"/>
  <c r="M894" i="2" s="1"/>
  <c r="N894" i="2" s="1"/>
  <c r="F894" i="2"/>
  <c r="I894" i="2" s="1"/>
  <c r="F893" i="2"/>
  <c r="F892" i="2"/>
  <c r="I892" i="2" s="1"/>
  <c r="F891" i="2"/>
  <c r="F890" i="2"/>
  <c r="I890" i="2" s="1"/>
  <c r="F889" i="2"/>
  <c r="F888" i="2"/>
  <c r="F887" i="2"/>
  <c r="F886" i="2"/>
  <c r="I886" i="2" s="1"/>
  <c r="F885" i="2"/>
  <c r="F884" i="2"/>
  <c r="F882" i="2"/>
  <c r="K882" i="2" s="1"/>
  <c r="M882" i="2" s="1"/>
  <c r="F881" i="2"/>
  <c r="F880" i="2"/>
  <c r="K880" i="2" s="1"/>
  <c r="M880" i="2" s="1"/>
  <c r="F879" i="2"/>
  <c r="I879" i="2" s="1"/>
  <c r="F878" i="2"/>
  <c r="F876" i="2"/>
  <c r="F875" i="2"/>
  <c r="F874" i="2"/>
  <c r="F873" i="2"/>
  <c r="F872" i="2"/>
  <c r="K871" i="2"/>
  <c r="M871" i="2" s="1"/>
  <c r="F871" i="2"/>
  <c r="I871" i="2" s="1"/>
  <c r="F870" i="2"/>
  <c r="F869" i="2"/>
  <c r="F868" i="2"/>
  <c r="K868" i="2" s="1"/>
  <c r="M868" i="2" s="1"/>
  <c r="F867" i="2"/>
  <c r="K867" i="2" s="1"/>
  <c r="M867" i="2" s="1"/>
  <c r="F866" i="2"/>
  <c r="F865" i="2"/>
  <c r="F864" i="2"/>
  <c r="K864" i="2" s="1"/>
  <c r="M864" i="2" s="1"/>
  <c r="F863" i="2"/>
  <c r="K863" i="2" s="1"/>
  <c r="M863" i="2" s="1"/>
  <c r="F862" i="2"/>
  <c r="F861" i="2"/>
  <c r="F860" i="2"/>
  <c r="K860" i="2" s="1"/>
  <c r="M860" i="2" s="1"/>
  <c r="F859" i="2"/>
  <c r="K859" i="2" s="1"/>
  <c r="M859" i="2" s="1"/>
  <c r="F858" i="2"/>
  <c r="F857" i="2"/>
  <c r="F856" i="2"/>
  <c r="K856" i="2" s="1"/>
  <c r="M856" i="2" s="1"/>
  <c r="F855" i="2"/>
  <c r="K855" i="2" s="1"/>
  <c r="M855" i="2" s="1"/>
  <c r="F854" i="2"/>
  <c r="K854" i="2" s="1"/>
  <c r="M854" i="2" s="1"/>
  <c r="F853" i="2"/>
  <c r="K853" i="2" s="1"/>
  <c r="M853" i="2" s="1"/>
  <c r="F852" i="2"/>
  <c r="K852" i="2" s="1"/>
  <c r="M852" i="2" s="1"/>
  <c r="K850" i="2"/>
  <c r="M850" i="2" s="1"/>
  <c r="F850" i="2"/>
  <c r="I850" i="2" s="1"/>
  <c r="A849" i="2"/>
  <c r="A848" i="2"/>
  <c r="A846" i="2"/>
  <c r="F845" i="2"/>
  <c r="I844" i="2"/>
  <c r="F844" i="2"/>
  <c r="K844" i="2" s="1"/>
  <c r="M844" i="2" s="1"/>
  <c r="F843" i="2"/>
  <c r="F842" i="2"/>
  <c r="K842" i="2" s="1"/>
  <c r="M842" i="2" s="1"/>
  <c r="F841" i="2"/>
  <c r="I840" i="2"/>
  <c r="F840" i="2"/>
  <c r="K840" i="2" s="1"/>
  <c r="M840" i="2" s="1"/>
  <c r="F839" i="2"/>
  <c r="F838" i="2"/>
  <c r="K838" i="2" s="1"/>
  <c r="M838" i="2" s="1"/>
  <c r="F837" i="2"/>
  <c r="I836" i="2"/>
  <c r="F836" i="2"/>
  <c r="K836" i="2" s="1"/>
  <c r="M836" i="2" s="1"/>
  <c r="F835" i="2"/>
  <c r="I835" i="2" s="1"/>
  <c r="F834" i="2"/>
  <c r="K834" i="2" s="1"/>
  <c r="M834" i="2" s="1"/>
  <c r="F833" i="2"/>
  <c r="I833" i="2" s="1"/>
  <c r="F832" i="2"/>
  <c r="F831" i="2"/>
  <c r="I831" i="2" s="1"/>
  <c r="F830" i="2"/>
  <c r="K830" i="2" s="1"/>
  <c r="M830" i="2" s="1"/>
  <c r="F828" i="2"/>
  <c r="K828" i="2" s="1"/>
  <c r="M828" i="2" s="1"/>
  <c r="F826" i="2"/>
  <c r="I825" i="2"/>
  <c r="F825" i="2"/>
  <c r="K825" i="2" s="1"/>
  <c r="M825" i="2" s="1"/>
  <c r="F824" i="2"/>
  <c r="F823" i="2"/>
  <c r="K823" i="2" s="1"/>
  <c r="M823" i="2" s="1"/>
  <c r="F822" i="2"/>
  <c r="I821" i="2"/>
  <c r="F821" i="2"/>
  <c r="K821" i="2" s="1"/>
  <c r="M821" i="2" s="1"/>
  <c r="F820" i="2"/>
  <c r="F819" i="2"/>
  <c r="K819" i="2" s="1"/>
  <c r="M819" i="2" s="1"/>
  <c r="F818" i="2"/>
  <c r="I817" i="2"/>
  <c r="F817" i="2"/>
  <c r="K817" i="2" s="1"/>
  <c r="M817" i="2" s="1"/>
  <c r="F816" i="2"/>
  <c r="F815" i="2"/>
  <c r="K815" i="2" s="1"/>
  <c r="M815" i="2" s="1"/>
  <c r="F814" i="2"/>
  <c r="I813" i="2"/>
  <c r="F813" i="2"/>
  <c r="K813" i="2" s="1"/>
  <c r="M813" i="2" s="1"/>
  <c r="F812" i="2"/>
  <c r="F811" i="2"/>
  <c r="K811" i="2" s="1"/>
  <c r="M811" i="2" s="1"/>
  <c r="F810" i="2"/>
  <c r="I809" i="2"/>
  <c r="F809" i="2"/>
  <c r="K809" i="2" s="1"/>
  <c r="M809" i="2" s="1"/>
  <c r="F808" i="2"/>
  <c r="F807" i="2"/>
  <c r="K807" i="2" s="1"/>
  <c r="M807" i="2" s="1"/>
  <c r="F806" i="2"/>
  <c r="I805" i="2"/>
  <c r="F805" i="2"/>
  <c r="K805" i="2" s="1"/>
  <c r="M805" i="2" s="1"/>
  <c r="F804" i="2"/>
  <c r="F803" i="2"/>
  <c r="K803" i="2" s="1"/>
  <c r="M803" i="2" s="1"/>
  <c r="F802" i="2"/>
  <c r="I801" i="2"/>
  <c r="F801" i="2"/>
  <c r="K801" i="2" s="1"/>
  <c r="M801" i="2" s="1"/>
  <c r="F800" i="2"/>
  <c r="F799" i="2"/>
  <c r="F798" i="2"/>
  <c r="I798" i="2" s="1"/>
  <c r="F797" i="2"/>
  <c r="F796" i="2"/>
  <c r="F795" i="2"/>
  <c r="K795" i="2" s="1"/>
  <c r="M795" i="2" s="1"/>
  <c r="F794" i="2"/>
  <c r="K794" i="2" s="1"/>
  <c r="M794" i="2" s="1"/>
  <c r="F793" i="2"/>
  <c r="K793" i="2" s="1"/>
  <c r="M793" i="2" s="1"/>
  <c r="F792" i="2"/>
  <c r="K792" i="2" s="1"/>
  <c r="M792" i="2" s="1"/>
  <c r="F791" i="2"/>
  <c r="F790" i="2"/>
  <c r="K790" i="2" s="1"/>
  <c r="M790" i="2" s="1"/>
  <c r="I789" i="2"/>
  <c r="F789" i="2"/>
  <c r="K789" i="2" s="1"/>
  <c r="M789" i="2" s="1"/>
  <c r="F788" i="2"/>
  <c r="K788" i="2" s="1"/>
  <c r="M788" i="2" s="1"/>
  <c r="F787" i="2"/>
  <c r="K787" i="2" s="1"/>
  <c r="M787" i="2" s="1"/>
  <c r="F785" i="2"/>
  <c r="F784" i="2"/>
  <c r="I784" i="2" s="1"/>
  <c r="F783" i="2"/>
  <c r="F782" i="2"/>
  <c r="F781" i="2"/>
  <c r="K780" i="2"/>
  <c r="M780" i="2" s="1"/>
  <c r="N780" i="2" s="1"/>
  <c r="F780" i="2"/>
  <c r="I780" i="2" s="1"/>
  <c r="F779" i="2"/>
  <c r="F777" i="2"/>
  <c r="K777" i="2" s="1"/>
  <c r="M777" i="2" s="1"/>
  <c r="F776" i="2"/>
  <c r="F775" i="2"/>
  <c r="K775" i="2" s="1"/>
  <c r="M775" i="2" s="1"/>
  <c r="F774" i="2"/>
  <c r="K774" i="2" s="1"/>
  <c r="M774" i="2" s="1"/>
  <c r="F773" i="2"/>
  <c r="K773" i="2" s="1"/>
  <c r="M773" i="2" s="1"/>
  <c r="F772" i="2"/>
  <c r="K772" i="2" s="1"/>
  <c r="M772" i="2" s="1"/>
  <c r="F771" i="2"/>
  <c r="K771" i="2" s="1"/>
  <c r="M771" i="2" s="1"/>
  <c r="F770" i="2"/>
  <c r="K770" i="2" s="1"/>
  <c r="M770" i="2" s="1"/>
  <c r="F769" i="2"/>
  <c r="K769" i="2" s="1"/>
  <c r="M769" i="2" s="1"/>
  <c r="I768" i="2"/>
  <c r="F768" i="2"/>
  <c r="K768" i="2" s="1"/>
  <c r="M768" i="2" s="1"/>
  <c r="F767" i="2"/>
  <c r="K767" i="2" s="1"/>
  <c r="M767" i="2" s="1"/>
  <c r="F766" i="2"/>
  <c r="K766" i="2" s="1"/>
  <c r="M766" i="2" s="1"/>
  <c r="F765" i="2"/>
  <c r="K765" i="2" s="1"/>
  <c r="M765" i="2" s="1"/>
  <c r="F764" i="2"/>
  <c r="K764" i="2" s="1"/>
  <c r="M764" i="2" s="1"/>
  <c r="F763" i="2"/>
  <c r="K763" i="2" s="1"/>
  <c r="M763" i="2" s="1"/>
  <c r="F762" i="2"/>
  <c r="K762" i="2" s="1"/>
  <c r="M762" i="2" s="1"/>
  <c r="F761" i="2"/>
  <c r="K761" i="2" s="1"/>
  <c r="M761" i="2" s="1"/>
  <c r="F760" i="2"/>
  <c r="K760" i="2" s="1"/>
  <c r="M760" i="2" s="1"/>
  <c r="F759" i="2"/>
  <c r="K759" i="2" s="1"/>
  <c r="M759" i="2" s="1"/>
  <c r="I758" i="2"/>
  <c r="F758" i="2"/>
  <c r="K758" i="2" s="1"/>
  <c r="M758" i="2" s="1"/>
  <c r="F757" i="2"/>
  <c r="K757" i="2" s="1"/>
  <c r="M757" i="2" s="1"/>
  <c r="F756" i="2"/>
  <c r="F755" i="2"/>
  <c r="K755" i="2" s="1"/>
  <c r="M755" i="2" s="1"/>
  <c r="F754" i="2"/>
  <c r="K754" i="2" s="1"/>
  <c r="M754" i="2" s="1"/>
  <c r="F753" i="2"/>
  <c r="K753" i="2" s="1"/>
  <c r="M753" i="2" s="1"/>
  <c r="F752" i="2"/>
  <c r="K752" i="2" s="1"/>
  <c r="M752" i="2" s="1"/>
  <c r="F751" i="2"/>
  <c r="K751" i="2" s="1"/>
  <c r="M751" i="2" s="1"/>
  <c r="F750" i="2"/>
  <c r="F749" i="2"/>
  <c r="K749" i="2" s="1"/>
  <c r="M749" i="2" s="1"/>
  <c r="I748" i="2"/>
  <c r="F748" i="2"/>
  <c r="K748" i="2" s="1"/>
  <c r="M748" i="2" s="1"/>
  <c r="F747" i="2"/>
  <c r="K747" i="2" s="1"/>
  <c r="M747" i="2" s="1"/>
  <c r="F746" i="2"/>
  <c r="K746" i="2" s="1"/>
  <c r="M746" i="2" s="1"/>
  <c r="F745" i="2"/>
  <c r="K745" i="2" s="1"/>
  <c r="M745" i="2" s="1"/>
  <c r="F744" i="2"/>
  <c r="F743" i="2"/>
  <c r="F742" i="2"/>
  <c r="K742" i="2" s="1"/>
  <c r="M742" i="2" s="1"/>
  <c r="F741" i="2"/>
  <c r="F740" i="2"/>
  <c r="K740" i="2" s="1"/>
  <c r="M740" i="2" s="1"/>
  <c r="F739" i="2"/>
  <c r="F738" i="2"/>
  <c r="K738" i="2" s="1"/>
  <c r="M738" i="2" s="1"/>
  <c r="F737" i="2"/>
  <c r="I736" i="2"/>
  <c r="F736" i="2"/>
  <c r="K736" i="2" s="1"/>
  <c r="M736" i="2" s="1"/>
  <c r="F735" i="2"/>
  <c r="F734" i="2"/>
  <c r="K734" i="2" s="1"/>
  <c r="M734" i="2" s="1"/>
  <c r="F733" i="2"/>
  <c r="F732" i="2"/>
  <c r="K732" i="2" s="1"/>
  <c r="M732" i="2" s="1"/>
  <c r="F731" i="2"/>
  <c r="F730" i="2"/>
  <c r="K730" i="2" s="1"/>
  <c r="M730" i="2" s="1"/>
  <c r="F729" i="2"/>
  <c r="F728" i="2"/>
  <c r="K728" i="2" s="1"/>
  <c r="M728" i="2" s="1"/>
  <c r="F727" i="2"/>
  <c r="F726" i="2"/>
  <c r="F725" i="2"/>
  <c r="I724" i="2"/>
  <c r="F724" i="2"/>
  <c r="K724" i="2" s="1"/>
  <c r="M724" i="2" s="1"/>
  <c r="F723" i="2"/>
  <c r="F722" i="2"/>
  <c r="K722" i="2" s="1"/>
  <c r="M722" i="2" s="1"/>
  <c r="F721" i="2"/>
  <c r="F720" i="2"/>
  <c r="K720" i="2" s="1"/>
  <c r="M720" i="2" s="1"/>
  <c r="F719" i="2"/>
  <c r="F718" i="2"/>
  <c r="K718" i="2" s="1"/>
  <c r="M718" i="2" s="1"/>
  <c r="F717" i="2"/>
  <c r="F716" i="2"/>
  <c r="K716" i="2" s="1"/>
  <c r="M716" i="2" s="1"/>
  <c r="F715" i="2"/>
  <c r="F714" i="2"/>
  <c r="K714" i="2" s="1"/>
  <c r="M714" i="2" s="1"/>
  <c r="F713" i="2"/>
  <c r="F712" i="2"/>
  <c r="K712" i="2" s="1"/>
  <c r="M712" i="2" s="1"/>
  <c r="F711" i="2"/>
  <c r="F710" i="2"/>
  <c r="F709" i="2"/>
  <c r="I708" i="2"/>
  <c r="F708" i="2"/>
  <c r="K708" i="2" s="1"/>
  <c r="M708" i="2" s="1"/>
  <c r="F707" i="2"/>
  <c r="F706" i="2"/>
  <c r="K706" i="2" s="1"/>
  <c r="M706" i="2" s="1"/>
  <c r="F705" i="2"/>
  <c r="F704" i="2"/>
  <c r="K704" i="2" s="1"/>
  <c r="M704" i="2" s="1"/>
  <c r="F703" i="2"/>
  <c r="F702" i="2"/>
  <c r="K702" i="2" s="1"/>
  <c r="M702" i="2" s="1"/>
  <c r="F701" i="2"/>
  <c r="F700" i="2"/>
  <c r="K700" i="2" s="1"/>
  <c r="M700" i="2" s="1"/>
  <c r="F699" i="2"/>
  <c r="F698" i="2"/>
  <c r="K698" i="2" s="1"/>
  <c r="M698" i="2" s="1"/>
  <c r="F697" i="2"/>
  <c r="F696" i="2"/>
  <c r="K696" i="2" s="1"/>
  <c r="M696" i="2" s="1"/>
  <c r="F695" i="2"/>
  <c r="F694" i="2"/>
  <c r="K694" i="2" s="1"/>
  <c r="M694" i="2" s="1"/>
  <c r="F693" i="2"/>
  <c r="F691" i="2"/>
  <c r="I691" i="2" s="1"/>
  <c r="F690" i="2"/>
  <c r="K690" i="2" s="1"/>
  <c r="M690" i="2" s="1"/>
  <c r="F689" i="2"/>
  <c r="I689" i="2" s="1"/>
  <c r="F688" i="2"/>
  <c r="F687" i="2"/>
  <c r="I687" i="2" s="1"/>
  <c r="F686" i="2"/>
  <c r="F685" i="2"/>
  <c r="F684" i="2"/>
  <c r="F683" i="2"/>
  <c r="K683" i="2" s="1"/>
  <c r="M683" i="2" s="1"/>
  <c r="F682" i="2"/>
  <c r="I682" i="2" s="1"/>
  <c r="F681" i="2"/>
  <c r="K681" i="2" s="1"/>
  <c r="M681" i="2" s="1"/>
  <c r="K680" i="2"/>
  <c r="M680" i="2" s="1"/>
  <c r="F680" i="2"/>
  <c r="I680" i="2" s="1"/>
  <c r="F679" i="2"/>
  <c r="K679" i="2" s="1"/>
  <c r="M679" i="2" s="1"/>
  <c r="F678" i="2"/>
  <c r="K678" i="2" s="1"/>
  <c r="M678" i="2" s="1"/>
  <c r="F677" i="2"/>
  <c r="K677" i="2" s="1"/>
  <c r="M677" i="2" s="1"/>
  <c r="F676" i="2"/>
  <c r="K676" i="2" s="1"/>
  <c r="M676" i="2" s="1"/>
  <c r="M675" i="2"/>
  <c r="F675" i="2"/>
  <c r="K675" i="2" s="1"/>
  <c r="F674" i="2"/>
  <c r="K674" i="2" s="1"/>
  <c r="M674" i="2" s="1"/>
  <c r="F673" i="2"/>
  <c r="K673" i="2" s="1"/>
  <c r="M673" i="2" s="1"/>
  <c r="I672" i="2"/>
  <c r="F672" i="2"/>
  <c r="K672" i="2" s="1"/>
  <c r="M672" i="2" s="1"/>
  <c r="F671" i="2"/>
  <c r="K671" i="2" s="1"/>
  <c r="M671" i="2" s="1"/>
  <c r="F670" i="2"/>
  <c r="K670" i="2" s="1"/>
  <c r="M670" i="2" s="1"/>
  <c r="F669" i="2"/>
  <c r="F668" i="2"/>
  <c r="K668" i="2" s="1"/>
  <c r="M668" i="2" s="1"/>
  <c r="F667" i="2"/>
  <c r="F666" i="2"/>
  <c r="K666" i="2" s="1"/>
  <c r="M666" i="2" s="1"/>
  <c r="F665" i="2"/>
  <c r="F664" i="2"/>
  <c r="K664" i="2" s="1"/>
  <c r="M664" i="2" s="1"/>
  <c r="F663" i="2"/>
  <c r="F662" i="2"/>
  <c r="I662" i="2" s="1"/>
  <c r="F661" i="2"/>
  <c r="F660" i="2"/>
  <c r="I660" i="2" s="1"/>
  <c r="F659" i="2"/>
  <c r="F658" i="2"/>
  <c r="F657" i="2"/>
  <c r="F656" i="2"/>
  <c r="I656" i="2" s="1"/>
  <c r="F655" i="2"/>
  <c r="F654" i="2"/>
  <c r="I654" i="2" s="1"/>
  <c r="F653" i="2"/>
  <c r="K652" i="2"/>
  <c r="M652" i="2" s="1"/>
  <c r="F652" i="2"/>
  <c r="I652" i="2" s="1"/>
  <c r="F651" i="2"/>
  <c r="F650" i="2"/>
  <c r="F649" i="2"/>
  <c r="F648" i="2"/>
  <c r="I648" i="2" s="1"/>
  <c r="F647" i="2"/>
  <c r="F646" i="2"/>
  <c r="I646" i="2" s="1"/>
  <c r="F645" i="2"/>
  <c r="F644" i="2"/>
  <c r="I644" i="2" s="1"/>
  <c r="F643" i="2"/>
  <c r="F642" i="2"/>
  <c r="F641" i="2"/>
  <c r="F640" i="2"/>
  <c r="I640" i="2" s="1"/>
  <c r="F639" i="2"/>
  <c r="A638" i="2"/>
  <c r="A637" i="2"/>
  <c r="A635" i="2"/>
  <c r="F634" i="2"/>
  <c r="K634" i="2" s="1"/>
  <c r="M634" i="2" s="1"/>
  <c r="F633" i="2"/>
  <c r="F632" i="2"/>
  <c r="F631" i="2"/>
  <c r="F630" i="2"/>
  <c r="K630" i="2" s="1"/>
  <c r="M630" i="2" s="1"/>
  <c r="F629" i="2"/>
  <c r="I628" i="2"/>
  <c r="F628" i="2"/>
  <c r="K628" i="2" s="1"/>
  <c r="M628" i="2" s="1"/>
  <c r="F627" i="2"/>
  <c r="F626" i="2"/>
  <c r="K626" i="2" s="1"/>
  <c r="M626" i="2" s="1"/>
  <c r="F625" i="2"/>
  <c r="F623" i="2"/>
  <c r="I623" i="2" s="1"/>
  <c r="F622" i="2"/>
  <c r="I622" i="2" s="1"/>
  <c r="F621" i="2"/>
  <c r="I621" i="2" s="1"/>
  <c r="F620" i="2"/>
  <c r="F619" i="2"/>
  <c r="I619" i="2" s="1"/>
  <c r="F618" i="2"/>
  <c r="F617" i="2"/>
  <c r="I617" i="2" s="1"/>
  <c r="F616" i="2"/>
  <c r="I616" i="2" s="1"/>
  <c r="F615" i="2"/>
  <c r="I615" i="2" s="1"/>
  <c r="F614" i="2"/>
  <c r="I614" i="2" s="1"/>
  <c r="F613" i="2"/>
  <c r="I613" i="2" s="1"/>
  <c r="F612" i="2"/>
  <c r="F611" i="2"/>
  <c r="I611" i="2" s="1"/>
  <c r="F610" i="2"/>
  <c r="F609" i="2"/>
  <c r="I609" i="2" s="1"/>
  <c r="F608" i="2"/>
  <c r="I608" i="2" s="1"/>
  <c r="F607" i="2"/>
  <c r="I607" i="2" s="1"/>
  <c r="F606" i="2"/>
  <c r="I606" i="2" s="1"/>
  <c r="F605" i="2"/>
  <c r="I605" i="2" s="1"/>
  <c r="F604" i="2"/>
  <c r="K604" i="2" s="1"/>
  <c r="M604" i="2" s="1"/>
  <c r="F603" i="2"/>
  <c r="I603" i="2" s="1"/>
  <c r="F602" i="2"/>
  <c r="K602" i="2" s="1"/>
  <c r="M602" i="2" s="1"/>
  <c r="F601" i="2"/>
  <c r="I601" i="2" s="1"/>
  <c r="F600" i="2"/>
  <c r="F599" i="2"/>
  <c r="I599" i="2" s="1"/>
  <c r="F598" i="2"/>
  <c r="F597" i="2"/>
  <c r="F596" i="2"/>
  <c r="K596" i="2" s="1"/>
  <c r="M596" i="2" s="1"/>
  <c r="F595" i="2"/>
  <c r="I595" i="2" s="1"/>
  <c r="F594" i="2"/>
  <c r="K594" i="2" s="1"/>
  <c r="M594" i="2" s="1"/>
  <c r="F593" i="2"/>
  <c r="I593" i="2" s="1"/>
  <c r="K592" i="2"/>
  <c r="M592" i="2" s="1"/>
  <c r="N592" i="2" s="1"/>
  <c r="F592" i="2"/>
  <c r="I592" i="2" s="1"/>
  <c r="F591" i="2"/>
  <c r="I591" i="2" s="1"/>
  <c r="K589" i="2"/>
  <c r="M589" i="2" s="1"/>
  <c r="F589" i="2"/>
  <c r="I589" i="2" s="1"/>
  <c r="F588" i="2"/>
  <c r="F587" i="2"/>
  <c r="K587" i="2" s="1"/>
  <c r="M587" i="2" s="1"/>
  <c r="F586" i="2"/>
  <c r="I585" i="2"/>
  <c r="F585" i="2"/>
  <c r="K585" i="2" s="1"/>
  <c r="M585" i="2" s="1"/>
  <c r="F584" i="2"/>
  <c r="F583" i="2"/>
  <c r="F582" i="2"/>
  <c r="F581" i="2"/>
  <c r="K581" i="2" s="1"/>
  <c r="M581" i="2" s="1"/>
  <c r="F580" i="2"/>
  <c r="F579" i="2"/>
  <c r="K579" i="2" s="1"/>
  <c r="M579" i="2" s="1"/>
  <c r="F578" i="2"/>
  <c r="I577" i="2"/>
  <c r="F577" i="2"/>
  <c r="K577" i="2" s="1"/>
  <c r="M577" i="2" s="1"/>
  <c r="F576" i="2"/>
  <c r="F575" i="2"/>
  <c r="F574" i="2"/>
  <c r="F572" i="2"/>
  <c r="I572" i="2" s="1"/>
  <c r="F571" i="2"/>
  <c r="I571" i="2" s="1"/>
  <c r="F570" i="2"/>
  <c r="I570" i="2" s="1"/>
  <c r="F569" i="2"/>
  <c r="I569" i="2" s="1"/>
  <c r="F568" i="2"/>
  <c r="I568" i="2" s="1"/>
  <c r="F567" i="2"/>
  <c r="I567" i="2" s="1"/>
  <c r="F566" i="2"/>
  <c r="I566" i="2" s="1"/>
  <c r="F565" i="2"/>
  <c r="I565" i="2" s="1"/>
  <c r="F564" i="2"/>
  <c r="I564" i="2" s="1"/>
  <c r="F563" i="2"/>
  <c r="I563" i="2" s="1"/>
  <c r="F562" i="2"/>
  <c r="I562" i="2" s="1"/>
  <c r="F561" i="2"/>
  <c r="I561" i="2" s="1"/>
  <c r="F560" i="2"/>
  <c r="I560" i="2" s="1"/>
  <c r="F559" i="2"/>
  <c r="I559" i="2" s="1"/>
  <c r="F558" i="2"/>
  <c r="I558" i="2" s="1"/>
  <c r="F557" i="2"/>
  <c r="I557" i="2" s="1"/>
  <c r="K556" i="2"/>
  <c r="M556" i="2" s="1"/>
  <c r="N556" i="2" s="1"/>
  <c r="F556" i="2"/>
  <c r="I556" i="2" s="1"/>
  <c r="F554" i="2"/>
  <c r="I554" i="2" s="1"/>
  <c r="F553" i="2"/>
  <c r="K552" i="2"/>
  <c r="M552" i="2" s="1"/>
  <c r="F552" i="2"/>
  <c r="I552" i="2" s="1"/>
  <c r="F551" i="2"/>
  <c r="F549" i="2"/>
  <c r="I549" i="2" s="1"/>
  <c r="F548" i="2"/>
  <c r="I548" i="2" s="1"/>
  <c r="F547" i="2"/>
  <c r="I547" i="2" s="1"/>
  <c r="F546" i="2"/>
  <c r="F545" i="2"/>
  <c r="I545" i="2" s="1"/>
  <c r="F544" i="2"/>
  <c r="F543" i="2"/>
  <c r="I543" i="2" s="1"/>
  <c r="F542" i="2"/>
  <c r="I542" i="2" s="1"/>
  <c r="F541" i="2"/>
  <c r="I541" i="2" s="1"/>
  <c r="F540" i="2"/>
  <c r="I540" i="2" s="1"/>
  <c r="F539" i="2"/>
  <c r="I539" i="2" s="1"/>
  <c r="F537" i="2"/>
  <c r="K537" i="2" s="1"/>
  <c r="M537" i="2" s="1"/>
  <c r="F536" i="2"/>
  <c r="F535" i="2"/>
  <c r="K535" i="2" s="1"/>
  <c r="M535" i="2" s="1"/>
  <c r="F534" i="2"/>
  <c r="F533" i="2"/>
  <c r="K533" i="2" s="1"/>
  <c r="M533" i="2" s="1"/>
  <c r="F532" i="2"/>
  <c r="F531" i="2"/>
  <c r="K531" i="2" s="1"/>
  <c r="M531" i="2" s="1"/>
  <c r="F530" i="2"/>
  <c r="F529" i="2"/>
  <c r="K529" i="2" s="1"/>
  <c r="M529" i="2" s="1"/>
  <c r="F528" i="2"/>
  <c r="F527" i="2"/>
  <c r="K527" i="2" s="1"/>
  <c r="M527" i="2" s="1"/>
  <c r="F526" i="2"/>
  <c r="F525" i="2"/>
  <c r="K525" i="2" s="1"/>
  <c r="M525" i="2" s="1"/>
  <c r="F524" i="2"/>
  <c r="F523" i="2"/>
  <c r="K523" i="2" s="1"/>
  <c r="M523" i="2" s="1"/>
  <c r="F522" i="2"/>
  <c r="F521" i="2"/>
  <c r="K521" i="2" s="1"/>
  <c r="M521" i="2" s="1"/>
  <c r="A520" i="2"/>
  <c r="A519" i="2"/>
  <c r="A518" i="2"/>
  <c r="A516" i="2"/>
  <c r="F515" i="2"/>
  <c r="I515" i="2" s="1"/>
  <c r="F514" i="2"/>
  <c r="I514" i="2" s="1"/>
  <c r="F513" i="2"/>
  <c r="F512" i="2"/>
  <c r="I512" i="2" s="1"/>
  <c r="I511" i="2"/>
  <c r="F511" i="2"/>
  <c r="F510" i="2"/>
  <c r="I510" i="2" s="1"/>
  <c r="F508" i="2"/>
  <c r="K508" i="2" s="1"/>
  <c r="M508" i="2" s="1"/>
  <c r="F507" i="2"/>
  <c r="F506" i="2"/>
  <c r="K506" i="2" s="1"/>
  <c r="M506" i="2" s="1"/>
  <c r="F504" i="2"/>
  <c r="I504" i="2" s="1"/>
  <c r="F503" i="2"/>
  <c r="I503" i="2" s="1"/>
  <c r="F501" i="2"/>
  <c r="K501" i="2" s="1"/>
  <c r="M501" i="2" s="1"/>
  <c r="F500" i="2"/>
  <c r="I499" i="2"/>
  <c r="F499" i="2"/>
  <c r="K499" i="2" s="1"/>
  <c r="M499" i="2" s="1"/>
  <c r="F498" i="2"/>
  <c r="F497" i="2"/>
  <c r="K497" i="2" s="1"/>
  <c r="M497" i="2" s="1"/>
  <c r="F496" i="2"/>
  <c r="F495" i="2"/>
  <c r="K495" i="2" s="1"/>
  <c r="M495" i="2" s="1"/>
  <c r="A494" i="2"/>
  <c r="A493" i="2"/>
  <c r="A483" i="2"/>
  <c r="A270" i="2" l="1"/>
  <c r="A175" i="2"/>
  <c r="A176" i="2" s="1"/>
  <c r="A162" i="2"/>
  <c r="A32" i="2"/>
  <c r="K558" i="2"/>
  <c r="M558" i="2" s="1"/>
  <c r="I579" i="2"/>
  <c r="I602" i="2"/>
  <c r="N602" i="2" s="1"/>
  <c r="I626" i="2"/>
  <c r="N626" i="2" s="1"/>
  <c r="K644" i="2"/>
  <c r="M644" i="2" s="1"/>
  <c r="I716" i="2"/>
  <c r="I764" i="2"/>
  <c r="N764" i="2" s="1"/>
  <c r="I774" i="2"/>
  <c r="I795" i="2"/>
  <c r="I807" i="2"/>
  <c r="I815" i="2"/>
  <c r="N815" i="2" s="1"/>
  <c r="I823" i="2"/>
  <c r="N823" i="2" s="1"/>
  <c r="I838" i="2"/>
  <c r="K926" i="2"/>
  <c r="M926" i="2" s="1"/>
  <c r="N926" i="2" s="1"/>
  <c r="I945" i="2"/>
  <c r="N945" i="2" s="1"/>
  <c r="I948" i="2"/>
  <c r="N948" i="2" s="1"/>
  <c r="N276" i="2"/>
  <c r="N390" i="2"/>
  <c r="N448" i="2"/>
  <c r="N803" i="2"/>
  <c r="N285" i="2"/>
  <c r="I501" i="2"/>
  <c r="N501" i="2" s="1"/>
  <c r="I587" i="2"/>
  <c r="N628" i="2"/>
  <c r="I634" i="2"/>
  <c r="K660" i="2"/>
  <c r="M660" i="2" s="1"/>
  <c r="N660" i="2" s="1"/>
  <c r="I700" i="2"/>
  <c r="I732" i="2"/>
  <c r="I742" i="2"/>
  <c r="I752" i="2"/>
  <c r="N752" i="2" s="1"/>
  <c r="N801" i="2"/>
  <c r="I803" i="2"/>
  <c r="N809" i="2"/>
  <c r="I811" i="2"/>
  <c r="N811" i="2" s="1"/>
  <c r="N817" i="2"/>
  <c r="I819" i="2"/>
  <c r="I834" i="2"/>
  <c r="N834" i="2" s="1"/>
  <c r="I842" i="2"/>
  <c r="N842" i="2" s="1"/>
  <c r="K879" i="2"/>
  <c r="M879" i="2" s="1"/>
  <c r="K886" i="2"/>
  <c r="M886" i="2" s="1"/>
  <c r="N886" i="2" s="1"/>
  <c r="K900" i="2"/>
  <c r="M900" i="2" s="1"/>
  <c r="N900" i="2" s="1"/>
  <c r="I938" i="2"/>
  <c r="N319" i="2"/>
  <c r="N355" i="2"/>
  <c r="N385" i="2"/>
  <c r="N257" i="2"/>
  <c r="N488" i="2"/>
  <c r="P484" i="2" s="1"/>
  <c r="I642" i="2"/>
  <c r="K642" i="2"/>
  <c r="M642" i="2" s="1"/>
  <c r="N642" i="2" s="1"/>
  <c r="I924" i="2"/>
  <c r="K924" i="2"/>
  <c r="M924" i="2" s="1"/>
  <c r="I600" i="2"/>
  <c r="K600" i="2"/>
  <c r="M600" i="2" s="1"/>
  <c r="N600" i="2" s="1"/>
  <c r="I961" i="2"/>
  <c r="N961" i="2" s="1"/>
  <c r="K961" i="2"/>
  <c r="M961" i="2" s="1"/>
  <c r="I495" i="2"/>
  <c r="K575" i="2"/>
  <c r="M575" i="2" s="1"/>
  <c r="I575" i="2"/>
  <c r="I650" i="2"/>
  <c r="K650" i="2"/>
  <c r="M650" i="2" s="1"/>
  <c r="K756" i="2"/>
  <c r="M756" i="2" s="1"/>
  <c r="N756" i="2" s="1"/>
  <c r="I756" i="2"/>
  <c r="K776" i="2"/>
  <c r="M776" i="2" s="1"/>
  <c r="I776" i="2"/>
  <c r="N776" i="2" s="1"/>
  <c r="I797" i="2"/>
  <c r="N797" i="2" s="1"/>
  <c r="K797" i="2"/>
  <c r="M797" i="2" s="1"/>
  <c r="I869" i="2"/>
  <c r="K869" i="2"/>
  <c r="M869" i="2" s="1"/>
  <c r="N869" i="2" s="1"/>
  <c r="N879" i="2"/>
  <c r="I979" i="2"/>
  <c r="K979" i="2"/>
  <c r="M979" i="2" s="1"/>
  <c r="K503" i="2"/>
  <c r="M503" i="2" s="1"/>
  <c r="N503" i="2" s="1"/>
  <c r="K554" i="2"/>
  <c r="M554" i="2" s="1"/>
  <c r="N554" i="2" s="1"/>
  <c r="K588" i="2"/>
  <c r="M588" i="2" s="1"/>
  <c r="I588" i="2"/>
  <c r="K632" i="2"/>
  <c r="M632" i="2" s="1"/>
  <c r="I632" i="2"/>
  <c r="I658" i="2"/>
  <c r="K658" i="2"/>
  <c r="M658" i="2" s="1"/>
  <c r="K726" i="2"/>
  <c r="M726" i="2" s="1"/>
  <c r="I726" i="2"/>
  <c r="K750" i="2"/>
  <c r="M750" i="2" s="1"/>
  <c r="I750" i="2"/>
  <c r="K791" i="2"/>
  <c r="M791" i="2" s="1"/>
  <c r="I791" i="2"/>
  <c r="N807" i="2"/>
  <c r="N850" i="2"/>
  <c r="I884" i="2"/>
  <c r="K884" i="2"/>
  <c r="M884" i="2" s="1"/>
  <c r="I908" i="2"/>
  <c r="K908" i="2"/>
  <c r="M908" i="2" s="1"/>
  <c r="N908" i="2" s="1"/>
  <c r="K933" i="2"/>
  <c r="M933" i="2" s="1"/>
  <c r="I933" i="2"/>
  <c r="I963" i="2"/>
  <c r="K963" i="2"/>
  <c r="M963" i="2" s="1"/>
  <c r="N963" i="2" s="1"/>
  <c r="K684" i="2"/>
  <c r="M684" i="2" s="1"/>
  <c r="I684" i="2"/>
  <c r="K710" i="2"/>
  <c r="M710" i="2" s="1"/>
  <c r="I710" i="2"/>
  <c r="N710" i="2" s="1"/>
  <c r="I875" i="2"/>
  <c r="K875" i="2"/>
  <c r="M875" i="2" s="1"/>
  <c r="I497" i="2"/>
  <c r="N497" i="2" s="1"/>
  <c r="K583" i="2"/>
  <c r="M583" i="2" s="1"/>
  <c r="I583" i="2"/>
  <c r="K744" i="2"/>
  <c r="M744" i="2" s="1"/>
  <c r="N744" i="2" s="1"/>
  <c r="I744" i="2"/>
  <c r="I799" i="2"/>
  <c r="K799" i="2"/>
  <c r="M799" i="2" s="1"/>
  <c r="N805" i="2"/>
  <c r="N813" i="2"/>
  <c r="K878" i="2"/>
  <c r="M878" i="2" s="1"/>
  <c r="I878" i="2"/>
  <c r="N878" i="2" s="1"/>
  <c r="K881" i="2"/>
  <c r="M881" i="2" s="1"/>
  <c r="I881" i="2"/>
  <c r="I902" i="2"/>
  <c r="K902" i="2"/>
  <c r="M902" i="2" s="1"/>
  <c r="I930" i="2"/>
  <c r="K930" i="2"/>
  <c r="M930" i="2" s="1"/>
  <c r="K939" i="2"/>
  <c r="M939" i="2" s="1"/>
  <c r="N939" i="2" s="1"/>
  <c r="I939" i="2"/>
  <c r="I977" i="2"/>
  <c r="K977" i="2"/>
  <c r="M977" i="2" s="1"/>
  <c r="N736" i="2"/>
  <c r="N269" i="2"/>
  <c r="N309" i="2"/>
  <c r="N375" i="2"/>
  <c r="N343" i="2"/>
  <c r="N458" i="2"/>
  <c r="K566" i="2"/>
  <c r="M566" i="2" s="1"/>
  <c r="N566" i="2" s="1"/>
  <c r="N579" i="2"/>
  <c r="I581" i="2"/>
  <c r="N581" i="2" s="1"/>
  <c r="N587" i="2"/>
  <c r="I594" i="2"/>
  <c r="N594" i="2" s="1"/>
  <c r="I630" i="2"/>
  <c r="N630" i="2" s="1"/>
  <c r="K640" i="2"/>
  <c r="M640" i="2" s="1"/>
  <c r="N640" i="2" s="1"/>
  <c r="K648" i="2"/>
  <c r="M648" i="2" s="1"/>
  <c r="K656" i="2"/>
  <c r="M656" i="2" s="1"/>
  <c r="N656" i="2" s="1"/>
  <c r="I664" i="2"/>
  <c r="N664" i="2" s="1"/>
  <c r="I666" i="2"/>
  <c r="N666" i="2" s="1"/>
  <c r="I668" i="2"/>
  <c r="I670" i="2"/>
  <c r="N670" i="2" s="1"/>
  <c r="I674" i="2"/>
  <c r="N674" i="2" s="1"/>
  <c r="K682" i="2"/>
  <c r="M682" i="2" s="1"/>
  <c r="N682" i="2" s="1"/>
  <c r="N271" i="2"/>
  <c r="N341" i="2"/>
  <c r="N577" i="2"/>
  <c r="N585" i="2"/>
  <c r="K646" i="2"/>
  <c r="M646" i="2" s="1"/>
  <c r="N646" i="2" s="1"/>
  <c r="K654" i="2"/>
  <c r="M654" i="2" s="1"/>
  <c r="N654" i="2" s="1"/>
  <c r="K662" i="2"/>
  <c r="M662" i="2" s="1"/>
  <c r="N662" i="2" s="1"/>
  <c r="I702" i="2"/>
  <c r="I718" i="2"/>
  <c r="I734" i="2"/>
  <c r="N734" i="2" s="1"/>
  <c r="I740" i="2"/>
  <c r="N740" i="2" s="1"/>
  <c r="I760" i="2"/>
  <c r="I766" i="2"/>
  <c r="N766" i="2" s="1"/>
  <c r="I772" i="2"/>
  <c r="K784" i="2"/>
  <c r="M784" i="2" s="1"/>
  <c r="N784" i="2" s="1"/>
  <c r="I787" i="2"/>
  <c r="I880" i="2"/>
  <c r="N880" i="2" s="1"/>
  <c r="K892" i="2"/>
  <c r="M892" i="2" s="1"/>
  <c r="N892" i="2" s="1"/>
  <c r="K898" i="2"/>
  <c r="M898" i="2" s="1"/>
  <c r="N898" i="2" s="1"/>
  <c r="K916" i="2"/>
  <c r="M916" i="2" s="1"/>
  <c r="N916" i="2" s="1"/>
  <c r="I934" i="2"/>
  <c r="N934" i="2" s="1"/>
  <c r="I936" i="2"/>
  <c r="I943" i="2"/>
  <c r="N943" i="2" s="1"/>
  <c r="K969" i="2"/>
  <c r="M969" i="2" s="1"/>
  <c r="N969" i="2" s="1"/>
  <c r="K971" i="2"/>
  <c r="M971" i="2" s="1"/>
  <c r="K985" i="2"/>
  <c r="M985" i="2" s="1"/>
  <c r="N985" i="2" s="1"/>
  <c r="N258" i="2"/>
  <c r="N388" i="2"/>
  <c r="N433" i="2"/>
  <c r="N454" i="2"/>
  <c r="N472" i="2"/>
  <c r="N395" i="2"/>
  <c r="N468" i="2"/>
  <c r="N466" i="2"/>
  <c r="N446" i="2"/>
  <c r="N456" i="2"/>
  <c r="N402" i="2"/>
  <c r="N398" i="2"/>
  <c r="N361" i="2"/>
  <c r="N321" i="2"/>
  <c r="N349" i="2"/>
  <c r="N363" i="2"/>
  <c r="N351" i="2"/>
  <c r="N373" i="2"/>
  <c r="N323" i="2"/>
  <c r="N315" i="2"/>
  <c r="N369" i="2"/>
  <c r="N337" i="2"/>
  <c r="N371" i="2"/>
  <c r="N317" i="2"/>
  <c r="N353" i="2"/>
  <c r="N345" i="2"/>
  <c r="N327" i="2"/>
  <c r="N325" i="2"/>
  <c r="N367" i="2"/>
  <c r="N335" i="2"/>
  <c r="N365" i="2"/>
  <c r="N357" i="2"/>
  <c r="N347" i="2"/>
  <c r="N339" i="2"/>
  <c r="N283" i="2"/>
  <c r="N281" i="2"/>
  <c r="N280" i="2"/>
  <c r="N278" i="2"/>
  <c r="N259" i="2"/>
  <c r="N508" i="2"/>
  <c r="N648" i="2"/>
  <c r="N650" i="2"/>
  <c r="N658" i="2"/>
  <c r="I904" i="2"/>
  <c r="K904" i="2"/>
  <c r="M904" i="2" s="1"/>
  <c r="N904" i="2" s="1"/>
  <c r="K935" i="2"/>
  <c r="M935" i="2" s="1"/>
  <c r="I935" i="2"/>
  <c r="K946" i="2"/>
  <c r="M946" i="2" s="1"/>
  <c r="I946" i="2"/>
  <c r="I962" i="2"/>
  <c r="I506" i="2"/>
  <c r="N506" i="2" s="1"/>
  <c r="I508" i="2"/>
  <c r="K510" i="2"/>
  <c r="M510" i="2" s="1"/>
  <c r="N510" i="2" s="1"/>
  <c r="K512" i="2"/>
  <c r="M512" i="2" s="1"/>
  <c r="N512" i="2" s="1"/>
  <c r="K514" i="2"/>
  <c r="M514" i="2" s="1"/>
  <c r="N514" i="2" s="1"/>
  <c r="I521" i="2"/>
  <c r="I523" i="2"/>
  <c r="N523" i="2" s="1"/>
  <c r="I525" i="2"/>
  <c r="N525" i="2" s="1"/>
  <c r="I527" i="2"/>
  <c r="N527" i="2" s="1"/>
  <c r="I529" i="2"/>
  <c r="I531" i="2"/>
  <c r="N531" i="2" s="1"/>
  <c r="I533" i="2"/>
  <c r="N533" i="2" s="1"/>
  <c r="I535" i="2"/>
  <c r="N535" i="2" s="1"/>
  <c r="I537" i="2"/>
  <c r="K539" i="2"/>
  <c r="M539" i="2" s="1"/>
  <c r="N539" i="2" s="1"/>
  <c r="K541" i="2"/>
  <c r="M541" i="2" s="1"/>
  <c r="N541" i="2" s="1"/>
  <c r="K543" i="2"/>
  <c r="M543" i="2" s="1"/>
  <c r="N543" i="2" s="1"/>
  <c r="K545" i="2"/>
  <c r="M545" i="2" s="1"/>
  <c r="N545" i="2" s="1"/>
  <c r="K547" i="2"/>
  <c r="M547" i="2" s="1"/>
  <c r="N547" i="2" s="1"/>
  <c r="K549" i="2"/>
  <c r="M549" i="2" s="1"/>
  <c r="N549" i="2" s="1"/>
  <c r="K560" i="2"/>
  <c r="M560" i="2" s="1"/>
  <c r="N560" i="2" s="1"/>
  <c r="K568" i="2"/>
  <c r="M568" i="2" s="1"/>
  <c r="N568" i="2" s="1"/>
  <c r="K595" i="2"/>
  <c r="M595" i="2" s="1"/>
  <c r="N595" i="2" s="1"/>
  <c r="K603" i="2"/>
  <c r="M603" i="2" s="1"/>
  <c r="N603" i="2" s="1"/>
  <c r="K605" i="2"/>
  <c r="M605" i="2" s="1"/>
  <c r="N605" i="2" s="1"/>
  <c r="K607" i="2"/>
  <c r="M607" i="2" s="1"/>
  <c r="N607" i="2" s="1"/>
  <c r="K609" i="2"/>
  <c r="M609" i="2" s="1"/>
  <c r="N609" i="2" s="1"/>
  <c r="K611" i="2"/>
  <c r="M611" i="2" s="1"/>
  <c r="N611" i="2" s="1"/>
  <c r="K613" i="2"/>
  <c r="M613" i="2" s="1"/>
  <c r="N613" i="2" s="1"/>
  <c r="K615" i="2"/>
  <c r="M615" i="2" s="1"/>
  <c r="N615" i="2" s="1"/>
  <c r="K617" i="2"/>
  <c r="M617" i="2" s="1"/>
  <c r="N617" i="2" s="1"/>
  <c r="K619" i="2"/>
  <c r="M619" i="2" s="1"/>
  <c r="N619" i="2" s="1"/>
  <c r="K621" i="2"/>
  <c r="M621" i="2" s="1"/>
  <c r="N621" i="2" s="1"/>
  <c r="K623" i="2"/>
  <c r="M623" i="2" s="1"/>
  <c r="N623" i="2" s="1"/>
  <c r="I676" i="2"/>
  <c r="N676" i="2" s="1"/>
  <c r="I678" i="2"/>
  <c r="N678" i="2" s="1"/>
  <c r="K691" i="2"/>
  <c r="M691" i="2" s="1"/>
  <c r="N691" i="2" s="1"/>
  <c r="I694" i="2"/>
  <c r="N694" i="2" s="1"/>
  <c r="I696" i="2"/>
  <c r="N696" i="2" s="1"/>
  <c r="I698" i="2"/>
  <c r="I706" i="2"/>
  <c r="I714" i="2"/>
  <c r="N714" i="2" s="1"/>
  <c r="I722" i="2"/>
  <c r="I730" i="2"/>
  <c r="I738" i="2"/>
  <c r="N738" i="2" s="1"/>
  <c r="I746" i="2"/>
  <c r="I754" i="2"/>
  <c r="N754" i="2" s="1"/>
  <c r="N760" i="2"/>
  <c r="I762" i="2"/>
  <c r="N762" i="2" s="1"/>
  <c r="N768" i="2"/>
  <c r="I770" i="2"/>
  <c r="N770" i="2" s="1"/>
  <c r="I782" i="2"/>
  <c r="K782" i="2"/>
  <c r="M782" i="2" s="1"/>
  <c r="I793" i="2"/>
  <c r="N793" i="2" s="1"/>
  <c r="K832" i="2"/>
  <c r="M832" i="2" s="1"/>
  <c r="I832" i="2"/>
  <c r="I855" i="2"/>
  <c r="N855" i="2" s="1"/>
  <c r="I873" i="2"/>
  <c r="N873" i="2" s="1"/>
  <c r="K873" i="2"/>
  <c r="M873" i="2" s="1"/>
  <c r="K890" i="2"/>
  <c r="M890" i="2" s="1"/>
  <c r="N890" i="2" s="1"/>
  <c r="I896" i="2"/>
  <c r="K896" i="2"/>
  <c r="M896" i="2" s="1"/>
  <c r="K922" i="2"/>
  <c r="M922" i="2" s="1"/>
  <c r="N922" i="2" s="1"/>
  <c r="I928" i="2"/>
  <c r="K928" i="2"/>
  <c r="M928" i="2" s="1"/>
  <c r="K944" i="2"/>
  <c r="M944" i="2" s="1"/>
  <c r="I944" i="2"/>
  <c r="I953" i="2"/>
  <c r="N953" i="2" s="1"/>
  <c r="K562" i="2"/>
  <c r="M562" i="2" s="1"/>
  <c r="N562" i="2" s="1"/>
  <c r="K570" i="2"/>
  <c r="M570" i="2" s="1"/>
  <c r="N570" i="2" s="1"/>
  <c r="I704" i="2"/>
  <c r="N704" i="2" s="1"/>
  <c r="I712" i="2"/>
  <c r="N712" i="2" s="1"/>
  <c r="I720" i="2"/>
  <c r="N720" i="2" s="1"/>
  <c r="I728" i="2"/>
  <c r="N728" i="2" s="1"/>
  <c r="N789" i="2"/>
  <c r="I830" i="2"/>
  <c r="N830" i="2" s="1"/>
  <c r="N836" i="2"/>
  <c r="N838" i="2"/>
  <c r="N840" i="2"/>
  <c r="N844" i="2"/>
  <c r="I853" i="2"/>
  <c r="N853" i="2" s="1"/>
  <c r="I882" i="2"/>
  <c r="N882" i="2" s="1"/>
  <c r="I888" i="2"/>
  <c r="K888" i="2"/>
  <c r="M888" i="2" s="1"/>
  <c r="K914" i="2"/>
  <c r="M914" i="2" s="1"/>
  <c r="N914" i="2" s="1"/>
  <c r="I920" i="2"/>
  <c r="K920" i="2"/>
  <c r="M920" i="2" s="1"/>
  <c r="N920" i="2" s="1"/>
  <c r="N938" i="2"/>
  <c r="I940" i="2"/>
  <c r="N940" i="2" s="1"/>
  <c r="I942" i="2"/>
  <c r="N942" i="2" s="1"/>
  <c r="I947" i="2"/>
  <c r="N947" i="2" s="1"/>
  <c r="I951" i="2"/>
  <c r="N951" i="2" s="1"/>
  <c r="I967" i="2"/>
  <c r="K967" i="2"/>
  <c r="M967" i="2" s="1"/>
  <c r="I975" i="2"/>
  <c r="K975" i="2"/>
  <c r="M975" i="2" s="1"/>
  <c r="N975" i="2" s="1"/>
  <c r="I983" i="2"/>
  <c r="K983" i="2"/>
  <c r="M983" i="2" s="1"/>
  <c r="K564" i="2"/>
  <c r="M564" i="2" s="1"/>
  <c r="N564" i="2" s="1"/>
  <c r="K572" i="2"/>
  <c r="M572" i="2" s="1"/>
  <c r="N572" i="2" s="1"/>
  <c r="K591" i="2"/>
  <c r="M591" i="2" s="1"/>
  <c r="N591" i="2" s="1"/>
  <c r="K593" i="2"/>
  <c r="M593" i="2" s="1"/>
  <c r="N593" i="2" s="1"/>
  <c r="I596" i="2"/>
  <c r="N596" i="2" s="1"/>
  <c r="K599" i="2"/>
  <c r="M599" i="2" s="1"/>
  <c r="N599" i="2" s="1"/>
  <c r="K601" i="2"/>
  <c r="M601" i="2" s="1"/>
  <c r="N601" i="2" s="1"/>
  <c r="I604" i="2"/>
  <c r="N604" i="2" s="1"/>
  <c r="N748" i="2"/>
  <c r="N772" i="2"/>
  <c r="N819" i="2"/>
  <c r="N821" i="2"/>
  <c r="N825" i="2"/>
  <c r="I828" i="2"/>
  <c r="N828" i="2" s="1"/>
  <c r="N881" i="2"/>
  <c r="I912" i="2"/>
  <c r="K912" i="2"/>
  <c r="M912" i="2" s="1"/>
  <c r="N933" i="2"/>
  <c r="K937" i="2"/>
  <c r="M937" i="2" s="1"/>
  <c r="I937" i="2"/>
  <c r="K965" i="2"/>
  <c r="M965" i="2" s="1"/>
  <c r="N965" i="2" s="1"/>
  <c r="K973" i="2"/>
  <c r="M973" i="2" s="1"/>
  <c r="N973" i="2" s="1"/>
  <c r="K981" i="2"/>
  <c r="M981" i="2" s="1"/>
  <c r="N981" i="2" s="1"/>
  <c r="N941" i="2"/>
  <c r="N936" i="2"/>
  <c r="N495" i="2"/>
  <c r="K500" i="2"/>
  <c r="M500" i="2" s="1"/>
  <c r="I500" i="2"/>
  <c r="K528" i="2"/>
  <c r="M528" i="2" s="1"/>
  <c r="I528" i="2"/>
  <c r="K546" i="2"/>
  <c r="M546" i="2" s="1"/>
  <c r="K551" i="2"/>
  <c r="M551" i="2" s="1"/>
  <c r="I551" i="2"/>
  <c r="K578" i="2"/>
  <c r="M578" i="2" s="1"/>
  <c r="I578" i="2"/>
  <c r="K586" i="2"/>
  <c r="M586" i="2" s="1"/>
  <c r="I586" i="2"/>
  <c r="I597" i="2"/>
  <c r="K597" i="2"/>
  <c r="M597" i="2" s="1"/>
  <c r="K625" i="2"/>
  <c r="M625" i="2" s="1"/>
  <c r="I625" i="2"/>
  <c r="K701" i="2"/>
  <c r="M701" i="2" s="1"/>
  <c r="I701" i="2"/>
  <c r="K498" i="2"/>
  <c r="M498" i="2" s="1"/>
  <c r="I498" i="2"/>
  <c r="K513" i="2"/>
  <c r="M513" i="2" s="1"/>
  <c r="N521" i="2"/>
  <c r="K526" i="2"/>
  <c r="M526" i="2" s="1"/>
  <c r="I526" i="2"/>
  <c r="N529" i="2"/>
  <c r="K534" i="2"/>
  <c r="M534" i="2" s="1"/>
  <c r="I534" i="2"/>
  <c r="N537" i="2"/>
  <c r="K544" i="2"/>
  <c r="M544" i="2" s="1"/>
  <c r="I546" i="2"/>
  <c r="N552" i="2"/>
  <c r="K580" i="2"/>
  <c r="M580" i="2" s="1"/>
  <c r="I580" i="2"/>
  <c r="K598" i="2"/>
  <c r="M598" i="2" s="1"/>
  <c r="I598" i="2"/>
  <c r="K645" i="2"/>
  <c r="M645" i="2" s="1"/>
  <c r="I645" i="2"/>
  <c r="K515" i="2"/>
  <c r="M515" i="2" s="1"/>
  <c r="N515" i="2" s="1"/>
  <c r="K536" i="2"/>
  <c r="M536" i="2" s="1"/>
  <c r="I536" i="2"/>
  <c r="K620" i="2"/>
  <c r="M620" i="2" s="1"/>
  <c r="I620" i="2"/>
  <c r="K653" i="2"/>
  <c r="M653" i="2" s="1"/>
  <c r="I653" i="2"/>
  <c r="N759" i="2"/>
  <c r="K496" i="2"/>
  <c r="M496" i="2" s="1"/>
  <c r="I496" i="2"/>
  <c r="N499" i="2"/>
  <c r="K511" i="2"/>
  <c r="M511" i="2" s="1"/>
  <c r="N511" i="2" s="1"/>
  <c r="I513" i="2"/>
  <c r="K524" i="2"/>
  <c r="M524" i="2" s="1"/>
  <c r="I524" i="2"/>
  <c r="K532" i="2"/>
  <c r="M532" i="2" s="1"/>
  <c r="I532" i="2"/>
  <c r="K542" i="2"/>
  <c r="M542" i="2" s="1"/>
  <c r="N542" i="2" s="1"/>
  <c r="I544" i="2"/>
  <c r="N558" i="2"/>
  <c r="K574" i="2"/>
  <c r="M574" i="2" s="1"/>
  <c r="I574" i="2"/>
  <c r="K582" i="2"/>
  <c r="M582" i="2" s="1"/>
  <c r="I582" i="2"/>
  <c r="K612" i="2"/>
  <c r="M612" i="2" s="1"/>
  <c r="I612" i="2"/>
  <c r="K669" i="2"/>
  <c r="M669" i="2" s="1"/>
  <c r="I669" i="2"/>
  <c r="K504" i="2"/>
  <c r="M504" i="2" s="1"/>
  <c r="N504" i="2" s="1"/>
  <c r="K507" i="2"/>
  <c r="M507" i="2" s="1"/>
  <c r="I507" i="2"/>
  <c r="K522" i="2"/>
  <c r="M522" i="2" s="1"/>
  <c r="I522" i="2"/>
  <c r="K530" i="2"/>
  <c r="M530" i="2" s="1"/>
  <c r="I530" i="2"/>
  <c r="K540" i="2"/>
  <c r="M540" i="2" s="1"/>
  <c r="N540" i="2" s="1"/>
  <c r="K548" i="2"/>
  <c r="M548" i="2" s="1"/>
  <c r="N548" i="2" s="1"/>
  <c r="K553" i="2"/>
  <c r="M553" i="2" s="1"/>
  <c r="I553" i="2"/>
  <c r="K576" i="2"/>
  <c r="M576" i="2" s="1"/>
  <c r="I576" i="2"/>
  <c r="K584" i="2"/>
  <c r="M584" i="2" s="1"/>
  <c r="I584" i="2"/>
  <c r="N589" i="2"/>
  <c r="K633" i="2"/>
  <c r="M633" i="2" s="1"/>
  <c r="I633" i="2"/>
  <c r="K661" i="2"/>
  <c r="M661" i="2" s="1"/>
  <c r="I661" i="2"/>
  <c r="K686" i="2"/>
  <c r="M686" i="2" s="1"/>
  <c r="I686" i="2"/>
  <c r="K733" i="2"/>
  <c r="M733" i="2" s="1"/>
  <c r="I733" i="2"/>
  <c r="K557" i="2"/>
  <c r="M557" i="2" s="1"/>
  <c r="N557" i="2" s="1"/>
  <c r="K559" i="2"/>
  <c r="M559" i="2" s="1"/>
  <c r="N559" i="2" s="1"/>
  <c r="K561" i="2"/>
  <c r="M561" i="2" s="1"/>
  <c r="N561" i="2" s="1"/>
  <c r="K563" i="2"/>
  <c r="M563" i="2" s="1"/>
  <c r="N563" i="2" s="1"/>
  <c r="K565" i="2"/>
  <c r="M565" i="2" s="1"/>
  <c r="N565" i="2" s="1"/>
  <c r="K567" i="2"/>
  <c r="M567" i="2" s="1"/>
  <c r="N567" i="2" s="1"/>
  <c r="K569" i="2"/>
  <c r="M569" i="2" s="1"/>
  <c r="N569" i="2" s="1"/>
  <c r="K571" i="2"/>
  <c r="M571" i="2" s="1"/>
  <c r="N571" i="2" s="1"/>
  <c r="K610" i="2"/>
  <c r="M610" i="2" s="1"/>
  <c r="K618" i="2"/>
  <c r="M618" i="2" s="1"/>
  <c r="K631" i="2"/>
  <c r="M631" i="2" s="1"/>
  <c r="I631" i="2"/>
  <c r="N634" i="2"/>
  <c r="K643" i="2"/>
  <c r="M643" i="2" s="1"/>
  <c r="I643" i="2"/>
  <c r="K651" i="2"/>
  <c r="M651" i="2" s="1"/>
  <c r="I651" i="2"/>
  <c r="K659" i="2"/>
  <c r="M659" i="2" s="1"/>
  <c r="I659" i="2"/>
  <c r="K667" i="2"/>
  <c r="M667" i="2" s="1"/>
  <c r="I667" i="2"/>
  <c r="K693" i="2"/>
  <c r="M693" i="2" s="1"/>
  <c r="I693" i="2"/>
  <c r="K725" i="2"/>
  <c r="M725" i="2" s="1"/>
  <c r="I725" i="2"/>
  <c r="K608" i="2"/>
  <c r="M608" i="2" s="1"/>
  <c r="N608" i="2" s="1"/>
  <c r="I610" i="2"/>
  <c r="K616" i="2"/>
  <c r="M616" i="2" s="1"/>
  <c r="N616" i="2" s="1"/>
  <c r="I618" i="2"/>
  <c r="K629" i="2"/>
  <c r="M629" i="2" s="1"/>
  <c r="I629" i="2"/>
  <c r="K641" i="2"/>
  <c r="M641" i="2" s="1"/>
  <c r="I641" i="2"/>
  <c r="N644" i="2"/>
  <c r="K649" i="2"/>
  <c r="M649" i="2" s="1"/>
  <c r="I649" i="2"/>
  <c r="N652" i="2"/>
  <c r="K657" i="2"/>
  <c r="M657" i="2" s="1"/>
  <c r="I657" i="2"/>
  <c r="K665" i="2"/>
  <c r="M665" i="2" s="1"/>
  <c r="I665" i="2"/>
  <c r="N668" i="2"/>
  <c r="N672" i="2"/>
  <c r="N680" i="2"/>
  <c r="N684" i="2"/>
  <c r="K717" i="2"/>
  <c r="M717" i="2" s="1"/>
  <c r="I717" i="2"/>
  <c r="K606" i="2"/>
  <c r="M606" i="2" s="1"/>
  <c r="N606" i="2" s="1"/>
  <c r="K614" i="2"/>
  <c r="M614" i="2" s="1"/>
  <c r="N614" i="2" s="1"/>
  <c r="K622" i="2"/>
  <c r="M622" i="2" s="1"/>
  <c r="N622" i="2" s="1"/>
  <c r="K627" i="2"/>
  <c r="M627" i="2" s="1"/>
  <c r="I627" i="2"/>
  <c r="K639" i="2"/>
  <c r="M639" i="2" s="1"/>
  <c r="I639" i="2"/>
  <c r="K647" i="2"/>
  <c r="M647" i="2" s="1"/>
  <c r="I647" i="2"/>
  <c r="K655" i="2"/>
  <c r="M655" i="2" s="1"/>
  <c r="I655" i="2"/>
  <c r="K663" i="2"/>
  <c r="M663" i="2" s="1"/>
  <c r="I663" i="2"/>
  <c r="I685" i="2"/>
  <c r="K685" i="2"/>
  <c r="M685" i="2" s="1"/>
  <c r="K709" i="2"/>
  <c r="M709" i="2" s="1"/>
  <c r="I709" i="2"/>
  <c r="K741" i="2"/>
  <c r="M741" i="2" s="1"/>
  <c r="I741" i="2"/>
  <c r="K699" i="2"/>
  <c r="M699" i="2" s="1"/>
  <c r="I699" i="2"/>
  <c r="N702" i="2"/>
  <c r="K707" i="2"/>
  <c r="M707" i="2" s="1"/>
  <c r="I707" i="2"/>
  <c r="K715" i="2"/>
  <c r="M715" i="2" s="1"/>
  <c r="I715" i="2"/>
  <c r="N718" i="2"/>
  <c r="K723" i="2"/>
  <c r="M723" i="2" s="1"/>
  <c r="I723" i="2"/>
  <c r="K731" i="2"/>
  <c r="M731" i="2" s="1"/>
  <c r="I731" i="2"/>
  <c r="K739" i="2"/>
  <c r="M739" i="2" s="1"/>
  <c r="I739" i="2"/>
  <c r="N742" i="2"/>
  <c r="K779" i="2"/>
  <c r="M779" i="2" s="1"/>
  <c r="I779" i="2"/>
  <c r="K781" i="2"/>
  <c r="M781" i="2" s="1"/>
  <c r="I781" i="2"/>
  <c r="K783" i="2"/>
  <c r="M783" i="2" s="1"/>
  <c r="I783" i="2"/>
  <c r="K785" i="2"/>
  <c r="M785" i="2" s="1"/>
  <c r="I785" i="2"/>
  <c r="K843" i="2"/>
  <c r="M843" i="2" s="1"/>
  <c r="I843" i="2"/>
  <c r="I671" i="2"/>
  <c r="N671" i="2" s="1"/>
  <c r="I673" i="2"/>
  <c r="N673" i="2" s="1"/>
  <c r="I675" i="2"/>
  <c r="N675" i="2" s="1"/>
  <c r="I677" i="2"/>
  <c r="N677" i="2" s="1"/>
  <c r="I679" i="2"/>
  <c r="N679" i="2" s="1"/>
  <c r="I681" i="2"/>
  <c r="N681" i="2" s="1"/>
  <c r="I683" i="2"/>
  <c r="N683" i="2" s="1"/>
  <c r="K687" i="2"/>
  <c r="M687" i="2" s="1"/>
  <c r="N687" i="2" s="1"/>
  <c r="I688" i="2"/>
  <c r="K697" i="2"/>
  <c r="M697" i="2" s="1"/>
  <c r="I697" i="2"/>
  <c r="N700" i="2"/>
  <c r="K705" i="2"/>
  <c r="M705" i="2" s="1"/>
  <c r="I705" i="2"/>
  <c r="N708" i="2"/>
  <c r="K713" i="2"/>
  <c r="M713" i="2" s="1"/>
  <c r="I713" i="2"/>
  <c r="N716" i="2"/>
  <c r="K721" i="2"/>
  <c r="M721" i="2" s="1"/>
  <c r="I721" i="2"/>
  <c r="N724" i="2"/>
  <c r="K729" i="2"/>
  <c r="M729" i="2" s="1"/>
  <c r="I729" i="2"/>
  <c r="N732" i="2"/>
  <c r="K737" i="2"/>
  <c r="M737" i="2" s="1"/>
  <c r="I737" i="2"/>
  <c r="N746" i="2"/>
  <c r="N750" i="2"/>
  <c r="N758" i="2"/>
  <c r="N774" i="2"/>
  <c r="N787" i="2"/>
  <c r="N795" i="2"/>
  <c r="K688" i="2"/>
  <c r="M688" i="2" s="1"/>
  <c r="K689" i="2"/>
  <c r="M689" i="2" s="1"/>
  <c r="N689" i="2" s="1"/>
  <c r="I690" i="2"/>
  <c r="N690" i="2" s="1"/>
  <c r="K695" i="2"/>
  <c r="M695" i="2" s="1"/>
  <c r="I695" i="2"/>
  <c r="N698" i="2"/>
  <c r="K703" i="2"/>
  <c r="M703" i="2" s="1"/>
  <c r="I703" i="2"/>
  <c r="N706" i="2"/>
  <c r="K711" i="2"/>
  <c r="M711" i="2" s="1"/>
  <c r="I711" i="2"/>
  <c r="K719" i="2"/>
  <c r="M719" i="2" s="1"/>
  <c r="I719" i="2"/>
  <c r="N722" i="2"/>
  <c r="K727" i="2"/>
  <c r="M727" i="2" s="1"/>
  <c r="I727" i="2"/>
  <c r="N730" i="2"/>
  <c r="K735" i="2"/>
  <c r="M735" i="2" s="1"/>
  <c r="N735" i="2" s="1"/>
  <c r="I735" i="2"/>
  <c r="K743" i="2"/>
  <c r="M743" i="2" s="1"/>
  <c r="I743" i="2"/>
  <c r="K796" i="2"/>
  <c r="M796" i="2" s="1"/>
  <c r="I796" i="2"/>
  <c r="I866" i="2"/>
  <c r="K866" i="2"/>
  <c r="M866" i="2" s="1"/>
  <c r="N866" i="2" s="1"/>
  <c r="K837" i="2"/>
  <c r="M837" i="2" s="1"/>
  <c r="I837" i="2"/>
  <c r="K845" i="2"/>
  <c r="M845" i="2" s="1"/>
  <c r="I845" i="2"/>
  <c r="I862" i="2"/>
  <c r="K862" i="2"/>
  <c r="M862" i="2" s="1"/>
  <c r="I745" i="2"/>
  <c r="N745" i="2" s="1"/>
  <c r="I747" i="2"/>
  <c r="N747" i="2" s="1"/>
  <c r="I749" i="2"/>
  <c r="N749" i="2" s="1"/>
  <c r="I751" i="2"/>
  <c r="N751" i="2" s="1"/>
  <c r="I753" i="2"/>
  <c r="N753" i="2" s="1"/>
  <c r="I755" i="2"/>
  <c r="N755" i="2" s="1"/>
  <c r="I757" i="2"/>
  <c r="N757" i="2" s="1"/>
  <c r="I759" i="2"/>
  <c r="I761" i="2"/>
  <c r="N761" i="2" s="1"/>
  <c r="I763" i="2"/>
  <c r="N763" i="2" s="1"/>
  <c r="I765" i="2"/>
  <c r="N765" i="2" s="1"/>
  <c r="I767" i="2"/>
  <c r="N767" i="2" s="1"/>
  <c r="I769" i="2"/>
  <c r="N769" i="2" s="1"/>
  <c r="I771" i="2"/>
  <c r="N771" i="2" s="1"/>
  <c r="I773" i="2"/>
  <c r="N773" i="2" s="1"/>
  <c r="I775" i="2"/>
  <c r="N775" i="2" s="1"/>
  <c r="I777" i="2"/>
  <c r="N777" i="2" s="1"/>
  <c r="I788" i="2"/>
  <c r="N788" i="2" s="1"/>
  <c r="I790" i="2"/>
  <c r="N790" i="2" s="1"/>
  <c r="I792" i="2"/>
  <c r="N792" i="2" s="1"/>
  <c r="I794" i="2"/>
  <c r="N794" i="2" s="1"/>
  <c r="K800" i="2"/>
  <c r="M800" i="2" s="1"/>
  <c r="K802" i="2"/>
  <c r="M802" i="2" s="1"/>
  <c r="K804" i="2"/>
  <c r="M804" i="2" s="1"/>
  <c r="K806" i="2"/>
  <c r="M806" i="2" s="1"/>
  <c r="K808" i="2"/>
  <c r="M808" i="2" s="1"/>
  <c r="K810" i="2"/>
  <c r="M810" i="2" s="1"/>
  <c r="K812" i="2"/>
  <c r="M812" i="2" s="1"/>
  <c r="K814" i="2"/>
  <c r="M814" i="2" s="1"/>
  <c r="K816" i="2"/>
  <c r="M816" i="2" s="1"/>
  <c r="K818" i="2"/>
  <c r="M818" i="2" s="1"/>
  <c r="K820" i="2"/>
  <c r="M820" i="2" s="1"/>
  <c r="K822" i="2"/>
  <c r="M822" i="2" s="1"/>
  <c r="K824" i="2"/>
  <c r="M824" i="2" s="1"/>
  <c r="K826" i="2"/>
  <c r="M826" i="2" s="1"/>
  <c r="K839" i="2"/>
  <c r="M839" i="2" s="1"/>
  <c r="I839" i="2"/>
  <c r="I858" i="2"/>
  <c r="K858" i="2"/>
  <c r="M858" i="2" s="1"/>
  <c r="K798" i="2"/>
  <c r="M798" i="2" s="1"/>
  <c r="N798" i="2" s="1"/>
  <c r="I800" i="2"/>
  <c r="I802" i="2"/>
  <c r="I804" i="2"/>
  <c r="I806" i="2"/>
  <c r="I808" i="2"/>
  <c r="I810" i="2"/>
  <c r="I812" i="2"/>
  <c r="I814" i="2"/>
  <c r="I816" i="2"/>
  <c r="I818" i="2"/>
  <c r="I820" i="2"/>
  <c r="I822" i="2"/>
  <c r="I824" i="2"/>
  <c r="I826" i="2"/>
  <c r="K831" i="2"/>
  <c r="M831" i="2" s="1"/>
  <c r="N831" i="2" s="1"/>
  <c r="K833" i="2"/>
  <c r="M833" i="2" s="1"/>
  <c r="N833" i="2" s="1"/>
  <c r="K835" i="2"/>
  <c r="M835" i="2" s="1"/>
  <c r="N835" i="2" s="1"/>
  <c r="K841" i="2"/>
  <c r="M841" i="2" s="1"/>
  <c r="I841" i="2"/>
  <c r="I857" i="2"/>
  <c r="I861" i="2"/>
  <c r="I865" i="2"/>
  <c r="K885" i="2"/>
  <c r="M885" i="2" s="1"/>
  <c r="I885" i="2"/>
  <c r="K887" i="2"/>
  <c r="M887" i="2" s="1"/>
  <c r="I887" i="2"/>
  <c r="K889" i="2"/>
  <c r="M889" i="2" s="1"/>
  <c r="I889" i="2"/>
  <c r="K891" i="2"/>
  <c r="M891" i="2" s="1"/>
  <c r="I891" i="2"/>
  <c r="K893" i="2"/>
  <c r="M893" i="2" s="1"/>
  <c r="I893" i="2"/>
  <c r="K895" i="2"/>
  <c r="M895" i="2" s="1"/>
  <c r="I895" i="2"/>
  <c r="K897" i="2"/>
  <c r="M897" i="2" s="1"/>
  <c r="I897" i="2"/>
  <c r="K899" i="2"/>
  <c r="M899" i="2" s="1"/>
  <c r="I899" i="2"/>
  <c r="K901" i="2"/>
  <c r="M901" i="2" s="1"/>
  <c r="I901" i="2"/>
  <c r="K903" i="2"/>
  <c r="M903" i="2" s="1"/>
  <c r="I903" i="2"/>
  <c r="K905" i="2"/>
  <c r="M905" i="2" s="1"/>
  <c r="I905" i="2"/>
  <c r="K907" i="2"/>
  <c r="M907" i="2" s="1"/>
  <c r="I907" i="2"/>
  <c r="I909" i="2"/>
  <c r="K909" i="2"/>
  <c r="M909" i="2" s="1"/>
  <c r="I852" i="2"/>
  <c r="N852" i="2" s="1"/>
  <c r="I854" i="2"/>
  <c r="N854" i="2" s="1"/>
  <c r="I856" i="2"/>
  <c r="N856" i="2" s="1"/>
  <c r="K857" i="2"/>
  <c r="M857" i="2" s="1"/>
  <c r="N857" i="2" s="1"/>
  <c r="I860" i="2"/>
  <c r="N860" i="2" s="1"/>
  <c r="K861" i="2"/>
  <c r="M861" i="2" s="1"/>
  <c r="I864" i="2"/>
  <c r="N864" i="2" s="1"/>
  <c r="K865" i="2"/>
  <c r="M865" i="2" s="1"/>
  <c r="I868" i="2"/>
  <c r="N868" i="2" s="1"/>
  <c r="N871" i="2"/>
  <c r="N875" i="2"/>
  <c r="K950" i="2"/>
  <c r="M950" i="2" s="1"/>
  <c r="I950" i="2"/>
  <c r="I859" i="2"/>
  <c r="N859" i="2" s="1"/>
  <c r="I863" i="2"/>
  <c r="N863" i="2" s="1"/>
  <c r="I867" i="2"/>
  <c r="N867" i="2" s="1"/>
  <c r="K870" i="2"/>
  <c r="M870" i="2" s="1"/>
  <c r="I870" i="2"/>
  <c r="K872" i="2"/>
  <c r="M872" i="2" s="1"/>
  <c r="I872" i="2"/>
  <c r="K874" i="2"/>
  <c r="M874" i="2" s="1"/>
  <c r="I874" i="2"/>
  <c r="K876" i="2"/>
  <c r="M876" i="2" s="1"/>
  <c r="I876" i="2"/>
  <c r="K952" i="2"/>
  <c r="M952" i="2" s="1"/>
  <c r="I952" i="2"/>
  <c r="I911" i="2"/>
  <c r="K954" i="2"/>
  <c r="M954" i="2" s="1"/>
  <c r="I954" i="2"/>
  <c r="I910" i="2"/>
  <c r="N910" i="2" s="1"/>
  <c r="K911" i="2"/>
  <c r="M911" i="2" s="1"/>
  <c r="N911" i="2" s="1"/>
  <c r="K913" i="2"/>
  <c r="M913" i="2" s="1"/>
  <c r="I913" i="2"/>
  <c r="K915" i="2"/>
  <c r="M915" i="2" s="1"/>
  <c r="I915" i="2"/>
  <c r="K917" i="2"/>
  <c r="M917" i="2" s="1"/>
  <c r="I917" i="2"/>
  <c r="K919" i="2"/>
  <c r="M919" i="2" s="1"/>
  <c r="I919" i="2"/>
  <c r="K921" i="2"/>
  <c r="M921" i="2" s="1"/>
  <c r="I921" i="2"/>
  <c r="K923" i="2"/>
  <c r="M923" i="2" s="1"/>
  <c r="I923" i="2"/>
  <c r="K925" i="2"/>
  <c r="M925" i="2" s="1"/>
  <c r="I925" i="2"/>
  <c r="K927" i="2"/>
  <c r="M927" i="2" s="1"/>
  <c r="I927" i="2"/>
  <c r="K929" i="2"/>
  <c r="M929" i="2" s="1"/>
  <c r="I929" i="2"/>
  <c r="K931" i="2"/>
  <c r="M931" i="2" s="1"/>
  <c r="I931" i="2"/>
  <c r="N967" i="2"/>
  <c r="N971" i="2"/>
  <c r="N979" i="2"/>
  <c r="N983" i="2"/>
  <c r="K960" i="2"/>
  <c r="M960" i="2" s="1"/>
  <c r="N960" i="2" s="1"/>
  <c r="K962" i="2"/>
  <c r="M962" i="2" s="1"/>
  <c r="K964" i="2"/>
  <c r="M964" i="2" s="1"/>
  <c r="N964" i="2" s="1"/>
  <c r="K966" i="2"/>
  <c r="M966" i="2" s="1"/>
  <c r="N966" i="2" s="1"/>
  <c r="K968" i="2"/>
  <c r="M968" i="2" s="1"/>
  <c r="N968" i="2" s="1"/>
  <c r="K970" i="2"/>
  <c r="M970" i="2" s="1"/>
  <c r="N970" i="2" s="1"/>
  <c r="K972" i="2"/>
  <c r="M972" i="2" s="1"/>
  <c r="N972" i="2" s="1"/>
  <c r="K974" i="2"/>
  <c r="M974" i="2" s="1"/>
  <c r="N974" i="2" s="1"/>
  <c r="K976" i="2"/>
  <c r="M976" i="2" s="1"/>
  <c r="N976" i="2" s="1"/>
  <c r="K978" i="2"/>
  <c r="M978" i="2" s="1"/>
  <c r="N978" i="2" s="1"/>
  <c r="K980" i="2"/>
  <c r="M980" i="2" s="1"/>
  <c r="N980" i="2" s="1"/>
  <c r="K982" i="2"/>
  <c r="M982" i="2" s="1"/>
  <c r="N982" i="2" s="1"/>
  <c r="K984" i="2"/>
  <c r="M984" i="2" s="1"/>
  <c r="N984" i="2" s="1"/>
  <c r="K986" i="2"/>
  <c r="M986" i="2" s="1"/>
  <c r="N986" i="2" s="1"/>
  <c r="A271" i="2" l="1"/>
  <c r="A177" i="2"/>
  <c r="A163" i="2"/>
  <c r="A33" i="2"/>
  <c r="N665" i="2"/>
  <c r="N583" i="2"/>
  <c r="N791" i="2"/>
  <c r="N726" i="2"/>
  <c r="N632" i="2"/>
  <c r="N575" i="2"/>
  <c r="N907" i="2"/>
  <c r="N899" i="2"/>
  <c r="N891" i="2"/>
  <c r="N695" i="2"/>
  <c r="N729" i="2"/>
  <c r="N697" i="2"/>
  <c r="N783" i="2"/>
  <c r="N733" i="2"/>
  <c r="N653" i="2"/>
  <c r="N526" i="2"/>
  <c r="P311" i="2"/>
  <c r="P451" i="2"/>
  <c r="K22" i="3" s="1"/>
  <c r="N962" i="2"/>
  <c r="N896" i="2"/>
  <c r="P438" i="2"/>
  <c r="N884" i="2"/>
  <c r="N924" i="2"/>
  <c r="N909" i="2"/>
  <c r="N822" i="2"/>
  <c r="N814" i="2"/>
  <c r="N806" i="2"/>
  <c r="N651" i="2"/>
  <c r="N928" i="2"/>
  <c r="N782" i="2"/>
  <c r="N946" i="2"/>
  <c r="N902" i="2"/>
  <c r="N799" i="2"/>
  <c r="N588" i="2"/>
  <c r="N931" i="2"/>
  <c r="N923" i="2"/>
  <c r="N727" i="2"/>
  <c r="N703" i="2"/>
  <c r="N723" i="2"/>
  <c r="N574" i="2"/>
  <c r="N532" i="2"/>
  <c r="N598" i="2"/>
  <c r="N534" i="2"/>
  <c r="P263" i="2"/>
  <c r="K17" i="3" s="1"/>
  <c r="N977" i="2"/>
  <c r="N930" i="2"/>
  <c r="N921" i="2"/>
  <c r="N874" i="2"/>
  <c r="N639" i="2"/>
  <c r="N659" i="2"/>
  <c r="N522" i="2"/>
  <c r="N905" i="2"/>
  <c r="N897" i="2"/>
  <c r="N889" i="2"/>
  <c r="N862" i="2"/>
  <c r="N688" i="2"/>
  <c r="N721" i="2"/>
  <c r="N725" i="2"/>
  <c r="N631" i="2"/>
  <c r="N669" i="2"/>
  <c r="N582" i="2"/>
  <c r="N580" i="2"/>
  <c r="N686" i="2"/>
  <c r="N620" i="2"/>
  <c r="N498" i="2"/>
  <c r="N915" i="2"/>
  <c r="N861" i="2"/>
  <c r="N858" i="2"/>
  <c r="N629" i="2"/>
  <c r="N536" i="2"/>
  <c r="N500" i="2"/>
  <c r="N912" i="2"/>
  <c r="N888" i="2"/>
  <c r="N944" i="2"/>
  <c r="N935" i="2"/>
  <c r="N954" i="2"/>
  <c r="N655" i="2"/>
  <c r="N553" i="2"/>
  <c r="N937" i="2"/>
  <c r="N832" i="2"/>
  <c r="P957" i="2"/>
  <c r="N917" i="2"/>
  <c r="N876" i="2"/>
  <c r="N950" i="2"/>
  <c r="N841" i="2"/>
  <c r="N743" i="2"/>
  <c r="N737" i="2"/>
  <c r="N705" i="2"/>
  <c r="N843" i="2"/>
  <c r="N641" i="2"/>
  <c r="N927" i="2"/>
  <c r="N919" i="2"/>
  <c r="N870" i="2"/>
  <c r="N865" i="2"/>
  <c r="N903" i="2"/>
  <c r="N895" i="2"/>
  <c r="N887" i="2"/>
  <c r="N839" i="2"/>
  <c r="N837" i="2"/>
  <c r="N796" i="2"/>
  <c r="N719" i="2"/>
  <c r="N713" i="2"/>
  <c r="N779" i="2"/>
  <c r="N739" i="2"/>
  <c r="N707" i="2"/>
  <c r="N741" i="2"/>
  <c r="N685" i="2"/>
  <c r="N663" i="2"/>
  <c r="N647" i="2"/>
  <c r="N627" i="2"/>
  <c r="N649" i="2"/>
  <c r="N693" i="2"/>
  <c r="N643" i="2"/>
  <c r="N633" i="2"/>
  <c r="N584" i="2"/>
  <c r="N576" i="2"/>
  <c r="N612" i="2"/>
  <c r="N524" i="2"/>
  <c r="N496" i="2"/>
  <c r="N645" i="2"/>
  <c r="N513" i="2"/>
  <c r="N625" i="2"/>
  <c r="N578" i="2"/>
  <c r="N551" i="2"/>
  <c r="N925" i="2"/>
  <c r="N901" i="2"/>
  <c r="N893" i="2"/>
  <c r="N885" i="2"/>
  <c r="N826" i="2"/>
  <c r="N818" i="2"/>
  <c r="N810" i="2"/>
  <c r="N802" i="2"/>
  <c r="N711" i="2"/>
  <c r="N785" i="2"/>
  <c r="N731" i="2"/>
  <c r="N699" i="2"/>
  <c r="N709" i="2"/>
  <c r="N717" i="2"/>
  <c r="N667" i="2"/>
  <c r="N610" i="2"/>
  <c r="N929" i="2"/>
  <c r="N913" i="2"/>
  <c r="N952" i="2"/>
  <c r="N872" i="2"/>
  <c r="N824" i="2"/>
  <c r="N820" i="2"/>
  <c r="N816" i="2"/>
  <c r="N812" i="2"/>
  <c r="N808" i="2"/>
  <c r="N804" i="2"/>
  <c r="N800" i="2"/>
  <c r="N845" i="2"/>
  <c r="N781" i="2"/>
  <c r="N715" i="2"/>
  <c r="N657" i="2"/>
  <c r="N618" i="2"/>
  <c r="N661" i="2"/>
  <c r="N544" i="2"/>
  <c r="N597" i="2"/>
  <c r="N546" i="2"/>
  <c r="N528" i="2"/>
  <c r="N530" i="2"/>
  <c r="N507" i="2"/>
  <c r="N701" i="2"/>
  <c r="N586" i="2"/>
  <c r="A272" i="2" l="1"/>
  <c r="A273" i="2"/>
  <c r="A178" i="2"/>
  <c r="A164" i="2"/>
  <c r="A165" i="2" s="1"/>
  <c r="A34" i="2"/>
  <c r="P517" i="2"/>
  <c r="P492" i="2"/>
  <c r="P636" i="2"/>
  <c r="P847" i="2"/>
  <c r="A275" i="2" l="1"/>
  <c r="A276" i="2" s="1"/>
  <c r="A180" i="2"/>
  <c r="A166" i="2"/>
  <c r="A35" i="2"/>
  <c r="D482" i="2"/>
  <c r="F482" i="2" s="1"/>
  <c r="A462" i="2"/>
  <c r="D436" i="2"/>
  <c r="F436" i="2" s="1"/>
  <c r="D435" i="2"/>
  <c r="F435" i="2" s="1"/>
  <c r="K435" i="2" s="1"/>
  <c r="M435" i="2" s="1"/>
  <c r="D431" i="2"/>
  <c r="F431" i="2" s="1"/>
  <c r="K431" i="2" s="1"/>
  <c r="M431" i="2" s="1"/>
  <c r="F424" i="2"/>
  <c r="I424" i="2" s="1"/>
  <c r="D423" i="2"/>
  <c r="F423" i="2" s="1"/>
  <c r="D422" i="2"/>
  <c r="F422" i="2" s="1"/>
  <c r="D421" i="2"/>
  <c r="F421" i="2" s="1"/>
  <c r="D420" i="2"/>
  <c r="F420" i="2" s="1"/>
  <c r="K420" i="2" s="1"/>
  <c r="M420" i="2" s="1"/>
  <c r="D419" i="2"/>
  <c r="F419" i="2" s="1"/>
  <c r="D418" i="2"/>
  <c r="F418" i="2" s="1"/>
  <c r="D417" i="2"/>
  <c r="F417" i="2" s="1"/>
  <c r="D415" i="2"/>
  <c r="F415" i="2" s="1"/>
  <c r="D414" i="2"/>
  <c r="D413" i="2" s="1"/>
  <c r="D406" i="2" s="1"/>
  <c r="D412" i="2"/>
  <c r="D426" i="2" s="1"/>
  <c r="D411" i="2"/>
  <c r="F411" i="2" s="1"/>
  <c r="D410" i="2"/>
  <c r="F410" i="2" s="1"/>
  <c r="K410" i="2" s="1"/>
  <c r="M410" i="2" s="1"/>
  <c r="D409" i="2"/>
  <c r="F409" i="2" s="1"/>
  <c r="D408" i="2"/>
  <c r="F408" i="2" s="1"/>
  <c r="D407" i="2"/>
  <c r="F407" i="2" s="1"/>
  <c r="A382" i="2"/>
  <c r="F307" i="2"/>
  <c r="I307" i="2" s="1"/>
  <c r="F306" i="2"/>
  <c r="I306" i="2" s="1"/>
  <c r="F305" i="2"/>
  <c r="I305" i="2" s="1"/>
  <c r="F304" i="2"/>
  <c r="I304" i="2" s="1"/>
  <c r="F302" i="2"/>
  <c r="I302" i="2" s="1"/>
  <c r="D297" i="2"/>
  <c r="F297" i="2" s="1"/>
  <c r="D296" i="2"/>
  <c r="F296" i="2" s="1"/>
  <c r="K296" i="2" s="1"/>
  <c r="M296" i="2" s="1"/>
  <c r="D295" i="2"/>
  <c r="F295" i="2" s="1"/>
  <c r="F293" i="2"/>
  <c r="I293" i="2" s="1"/>
  <c r="F292" i="2"/>
  <c r="I292" i="2" s="1"/>
  <c r="F291" i="2"/>
  <c r="I291" i="2" s="1"/>
  <c r="A290" i="2"/>
  <c r="A289" i="2"/>
  <c r="D255" i="2"/>
  <c r="F255" i="2" s="1"/>
  <c r="D254" i="2"/>
  <c r="F254" i="2" s="1"/>
  <c r="D253" i="2"/>
  <c r="F253" i="2" s="1"/>
  <c r="D252" i="2"/>
  <c r="F252" i="2" s="1"/>
  <c r="D251" i="2"/>
  <c r="F251" i="2" s="1"/>
  <c r="K251" i="2" s="1"/>
  <c r="M251" i="2" s="1"/>
  <c r="D250" i="2"/>
  <c r="F250" i="2" s="1"/>
  <c r="D249" i="2"/>
  <c r="F249" i="2" s="1"/>
  <c r="D248" i="2"/>
  <c r="F248" i="2" s="1"/>
  <c r="K248" i="2" s="1"/>
  <c r="M248" i="2" s="1"/>
  <c r="D247" i="2"/>
  <c r="F247" i="2" s="1"/>
  <c r="D246" i="2"/>
  <c r="F246" i="2" s="1"/>
  <c r="D245" i="2"/>
  <c r="F245" i="2" s="1"/>
  <c r="D244" i="2"/>
  <c r="F244" i="2" s="1"/>
  <c r="D243" i="2"/>
  <c r="F243" i="2" s="1"/>
  <c r="K243" i="2" s="1"/>
  <c r="M243" i="2" s="1"/>
  <c r="D242" i="2"/>
  <c r="F242" i="2" s="1"/>
  <c r="D241" i="2"/>
  <c r="F241" i="2" s="1"/>
  <c r="D240" i="2"/>
  <c r="F240" i="2" s="1"/>
  <c r="K240" i="2" s="1"/>
  <c r="M240" i="2" s="1"/>
  <c r="D239" i="2"/>
  <c r="F239" i="2" s="1"/>
  <c r="D238" i="2"/>
  <c r="F238" i="2" s="1"/>
  <c r="D237" i="2"/>
  <c r="F237" i="2" s="1"/>
  <c r="D236" i="2"/>
  <c r="F236" i="2" s="1"/>
  <c r="D235" i="2"/>
  <c r="F235" i="2" s="1"/>
  <c r="K235" i="2" s="1"/>
  <c r="M235" i="2" s="1"/>
  <c r="D234" i="2"/>
  <c r="F234" i="2" s="1"/>
  <c r="D233" i="2"/>
  <c r="F233" i="2" s="1"/>
  <c r="D232" i="2"/>
  <c r="F232" i="2" s="1"/>
  <c r="I232" i="2" s="1"/>
  <c r="D231" i="2"/>
  <c r="F231" i="2" s="1"/>
  <c r="K231" i="2" s="1"/>
  <c r="M231" i="2" s="1"/>
  <c r="D230" i="2"/>
  <c r="F230" i="2" s="1"/>
  <c r="D229" i="2"/>
  <c r="F229" i="2" s="1"/>
  <c r="D228" i="2"/>
  <c r="F228" i="2" s="1"/>
  <c r="I228" i="2" s="1"/>
  <c r="D227" i="2"/>
  <c r="F227" i="2" s="1"/>
  <c r="K227" i="2" s="1"/>
  <c r="M227" i="2" s="1"/>
  <c r="D226" i="2"/>
  <c r="F226" i="2" s="1"/>
  <c r="D225" i="2"/>
  <c r="F225" i="2" s="1"/>
  <c r="D224" i="2"/>
  <c r="F224" i="2" s="1"/>
  <c r="I224" i="2" s="1"/>
  <c r="D223" i="2"/>
  <c r="F223" i="2" s="1"/>
  <c r="K223" i="2" s="1"/>
  <c r="M223" i="2" s="1"/>
  <c r="D222" i="2"/>
  <c r="F222" i="2" s="1"/>
  <c r="D221" i="2"/>
  <c r="F221" i="2" s="1"/>
  <c r="D220" i="2"/>
  <c r="F220" i="2" s="1"/>
  <c r="I220" i="2" s="1"/>
  <c r="D219" i="2"/>
  <c r="F219" i="2" s="1"/>
  <c r="D218" i="2"/>
  <c r="F218" i="2" s="1"/>
  <c r="D217" i="2"/>
  <c r="F217" i="2" s="1"/>
  <c r="D216" i="2"/>
  <c r="F216" i="2" s="1"/>
  <c r="I216" i="2" s="1"/>
  <c r="D215" i="2"/>
  <c r="F215" i="2" s="1"/>
  <c r="D214" i="2"/>
  <c r="F214" i="2" s="1"/>
  <c r="D213" i="2"/>
  <c r="F213" i="2" s="1"/>
  <c r="I213" i="2" s="1"/>
  <c r="D212" i="2"/>
  <c r="F212" i="2" s="1"/>
  <c r="I212" i="2" s="1"/>
  <c r="D211" i="2"/>
  <c r="F211" i="2" s="1"/>
  <c r="I211" i="2" s="1"/>
  <c r="D210" i="2"/>
  <c r="F210" i="2" s="1"/>
  <c r="D209" i="2"/>
  <c r="F209" i="2" s="1"/>
  <c r="I209" i="2" s="1"/>
  <c r="D208" i="2"/>
  <c r="F208" i="2" s="1"/>
  <c r="I208" i="2" s="1"/>
  <c r="D207" i="2"/>
  <c r="F207" i="2" s="1"/>
  <c r="I207" i="2" s="1"/>
  <c r="D206" i="2"/>
  <c r="F206" i="2" s="1"/>
  <c r="D205" i="2"/>
  <c r="F205" i="2" s="1"/>
  <c r="I205" i="2" s="1"/>
  <c r="D204" i="2"/>
  <c r="F204" i="2" s="1"/>
  <c r="I204" i="2" s="1"/>
  <c r="D203" i="2"/>
  <c r="F203" i="2" s="1"/>
  <c r="I203" i="2" s="1"/>
  <c r="D202" i="2"/>
  <c r="F202" i="2" s="1"/>
  <c r="D201" i="2"/>
  <c r="F201" i="2" s="1"/>
  <c r="I201" i="2" s="1"/>
  <c r="D200" i="2"/>
  <c r="F200" i="2" s="1"/>
  <c r="I200" i="2" s="1"/>
  <c r="D199" i="2"/>
  <c r="F199" i="2" s="1"/>
  <c r="D198" i="2"/>
  <c r="F198" i="2" s="1"/>
  <c r="K198" i="2" s="1"/>
  <c r="M198" i="2" s="1"/>
  <c r="D197" i="2"/>
  <c r="F197" i="2" s="1"/>
  <c r="D196" i="2"/>
  <c r="F196" i="2" s="1"/>
  <c r="D195" i="2"/>
  <c r="F195" i="2" s="1"/>
  <c r="K195" i="2" s="1"/>
  <c r="M195" i="2" s="1"/>
  <c r="D194" i="2"/>
  <c r="F194" i="2" s="1"/>
  <c r="K194" i="2" s="1"/>
  <c r="M194" i="2" s="1"/>
  <c r="D193" i="2"/>
  <c r="F193" i="2" s="1"/>
  <c r="D192" i="2"/>
  <c r="F192" i="2" s="1"/>
  <c r="D191" i="2"/>
  <c r="F191" i="2" s="1"/>
  <c r="K191" i="2" s="1"/>
  <c r="M191" i="2" s="1"/>
  <c r="D190" i="2"/>
  <c r="F190" i="2" s="1"/>
  <c r="K190" i="2" s="1"/>
  <c r="M190" i="2" s="1"/>
  <c r="D189" i="2"/>
  <c r="F189" i="2" s="1"/>
  <c r="D188" i="2"/>
  <c r="F188" i="2" s="1"/>
  <c r="D187" i="2"/>
  <c r="F187" i="2" s="1"/>
  <c r="D186" i="2"/>
  <c r="F186" i="2" s="1"/>
  <c r="K186" i="2" s="1"/>
  <c r="M186" i="2" s="1"/>
  <c r="D185" i="2"/>
  <c r="F185" i="2" s="1"/>
  <c r="D184" i="2"/>
  <c r="F184" i="2" s="1"/>
  <c r="D183" i="2"/>
  <c r="F183" i="2" s="1"/>
  <c r="D164" i="2"/>
  <c r="F164" i="2" s="1"/>
  <c r="D163" i="2"/>
  <c r="F163" i="2" s="1"/>
  <c r="K163" i="2" s="1"/>
  <c r="M163" i="2" s="1"/>
  <c r="D162" i="2"/>
  <c r="F162" i="2" s="1"/>
  <c r="D161" i="2"/>
  <c r="F161" i="2" s="1"/>
  <c r="D160" i="2"/>
  <c r="F160" i="2" s="1"/>
  <c r="D159" i="2"/>
  <c r="F159" i="2" s="1"/>
  <c r="K159" i="2" s="1"/>
  <c r="M159" i="2" s="1"/>
  <c r="D158" i="2"/>
  <c r="A157" i="2"/>
  <c r="A156" i="2"/>
  <c r="A154" i="2"/>
  <c r="A277" i="2" l="1"/>
  <c r="A181" i="2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7" i="2" s="1"/>
  <c r="A258" i="2" s="1"/>
  <c r="A259" i="2" s="1"/>
  <c r="A261" i="2" s="1"/>
  <c r="A36" i="2"/>
  <c r="K482" i="2"/>
  <c r="M482" i="2" s="1"/>
  <c r="I482" i="2"/>
  <c r="K407" i="2"/>
  <c r="M407" i="2" s="1"/>
  <c r="I407" i="2"/>
  <c r="K417" i="2"/>
  <c r="M417" i="2" s="1"/>
  <c r="I417" i="2"/>
  <c r="F412" i="2"/>
  <c r="K412" i="2" s="1"/>
  <c r="M412" i="2" s="1"/>
  <c r="D430" i="2"/>
  <c r="F430" i="2" s="1"/>
  <c r="K430" i="2" s="1"/>
  <c r="M430" i="2" s="1"/>
  <c r="I408" i="2"/>
  <c r="K408" i="2"/>
  <c r="M408" i="2" s="1"/>
  <c r="K411" i="2"/>
  <c r="M411" i="2" s="1"/>
  <c r="I411" i="2"/>
  <c r="K415" i="2"/>
  <c r="M415" i="2" s="1"/>
  <c r="I415" i="2"/>
  <c r="F406" i="2"/>
  <c r="K406" i="2" s="1"/>
  <c r="M406" i="2" s="1"/>
  <c r="D429" i="2"/>
  <c r="F429" i="2" s="1"/>
  <c r="F426" i="2"/>
  <c r="D427" i="2"/>
  <c r="F427" i="2" s="1"/>
  <c r="K421" i="2"/>
  <c r="M421" i="2" s="1"/>
  <c r="I421" i="2"/>
  <c r="I436" i="2"/>
  <c r="K436" i="2"/>
  <c r="M436" i="2" s="1"/>
  <c r="I412" i="2"/>
  <c r="N412" i="2" s="1"/>
  <c r="F414" i="2"/>
  <c r="K414" i="2" s="1"/>
  <c r="M414" i="2" s="1"/>
  <c r="I431" i="2"/>
  <c r="N431" i="2" s="1"/>
  <c r="I435" i="2"/>
  <c r="N435" i="2" s="1"/>
  <c r="I422" i="2"/>
  <c r="K422" i="2"/>
  <c r="M422" i="2" s="1"/>
  <c r="K409" i="2"/>
  <c r="M409" i="2" s="1"/>
  <c r="I409" i="2"/>
  <c r="I418" i="2"/>
  <c r="K418" i="2"/>
  <c r="M418" i="2" s="1"/>
  <c r="K423" i="2"/>
  <c r="M423" i="2" s="1"/>
  <c r="I423" i="2"/>
  <c r="K419" i="2"/>
  <c r="M419" i="2" s="1"/>
  <c r="I419" i="2"/>
  <c r="I410" i="2"/>
  <c r="N410" i="2" s="1"/>
  <c r="F413" i="2"/>
  <c r="I420" i="2"/>
  <c r="N420" i="2" s="1"/>
  <c r="K424" i="2"/>
  <c r="M424" i="2" s="1"/>
  <c r="N424" i="2" s="1"/>
  <c r="K306" i="2"/>
  <c r="M306" i="2" s="1"/>
  <c r="N306" i="2" s="1"/>
  <c r="K304" i="2"/>
  <c r="M304" i="2" s="1"/>
  <c r="N304" i="2" s="1"/>
  <c r="K305" i="2"/>
  <c r="M305" i="2" s="1"/>
  <c r="N305" i="2" s="1"/>
  <c r="K307" i="2"/>
  <c r="M307" i="2" s="1"/>
  <c r="N307" i="2" s="1"/>
  <c r="K302" i="2"/>
  <c r="M302" i="2" s="1"/>
  <c r="N302" i="2" s="1"/>
  <c r="K292" i="2"/>
  <c r="M292" i="2" s="1"/>
  <c r="N292" i="2" s="1"/>
  <c r="K297" i="2"/>
  <c r="M297" i="2" s="1"/>
  <c r="I297" i="2"/>
  <c r="K295" i="2"/>
  <c r="M295" i="2" s="1"/>
  <c r="I295" i="2"/>
  <c r="I296" i="2"/>
  <c r="N296" i="2" s="1"/>
  <c r="K183" i="2"/>
  <c r="M183" i="2" s="1"/>
  <c r="I183" i="2"/>
  <c r="K199" i="2"/>
  <c r="M199" i="2" s="1"/>
  <c r="I199" i="2"/>
  <c r="K224" i="2"/>
  <c r="M224" i="2" s="1"/>
  <c r="N224" i="2" s="1"/>
  <c r="I235" i="2"/>
  <c r="N235" i="2" s="1"/>
  <c r="I251" i="2"/>
  <c r="N251" i="2" s="1"/>
  <c r="K205" i="2"/>
  <c r="M205" i="2" s="1"/>
  <c r="N205" i="2" s="1"/>
  <c r="I195" i="2"/>
  <c r="N195" i="2" s="1"/>
  <c r="I243" i="2"/>
  <c r="N243" i="2" s="1"/>
  <c r="K201" i="2"/>
  <c r="M201" i="2" s="1"/>
  <c r="N201" i="2" s="1"/>
  <c r="K228" i="2"/>
  <c r="M228" i="2" s="1"/>
  <c r="N228" i="2" s="1"/>
  <c r="I161" i="2"/>
  <c r="K161" i="2"/>
  <c r="M161" i="2" s="1"/>
  <c r="K187" i="2"/>
  <c r="M187" i="2" s="1"/>
  <c r="I187" i="2"/>
  <c r="K215" i="2"/>
  <c r="M215" i="2" s="1"/>
  <c r="I215" i="2"/>
  <c r="I236" i="2"/>
  <c r="K236" i="2"/>
  <c r="M236" i="2" s="1"/>
  <c r="K239" i="2"/>
  <c r="M239" i="2" s="1"/>
  <c r="I239" i="2"/>
  <c r="K247" i="2"/>
  <c r="M247" i="2" s="1"/>
  <c r="I247" i="2"/>
  <c r="I252" i="2"/>
  <c r="K252" i="2"/>
  <c r="M252" i="2" s="1"/>
  <c r="K255" i="2"/>
  <c r="M255" i="2" s="1"/>
  <c r="I255" i="2"/>
  <c r="K219" i="2"/>
  <c r="M219" i="2" s="1"/>
  <c r="I219" i="2"/>
  <c r="I244" i="2"/>
  <c r="K244" i="2"/>
  <c r="M244" i="2" s="1"/>
  <c r="I191" i="2"/>
  <c r="N191" i="2" s="1"/>
  <c r="K209" i="2"/>
  <c r="M209" i="2" s="1"/>
  <c r="N209" i="2" s="1"/>
  <c r="I223" i="2"/>
  <c r="N223" i="2" s="1"/>
  <c r="I227" i="2"/>
  <c r="N227" i="2" s="1"/>
  <c r="I231" i="2"/>
  <c r="N231" i="2" s="1"/>
  <c r="I240" i="2"/>
  <c r="N240" i="2" s="1"/>
  <c r="I248" i="2"/>
  <c r="N248" i="2" s="1"/>
  <c r="K291" i="2"/>
  <c r="M291" i="2" s="1"/>
  <c r="N291" i="2" s="1"/>
  <c r="K293" i="2"/>
  <c r="M293" i="2" s="1"/>
  <c r="N293" i="2" s="1"/>
  <c r="K213" i="2"/>
  <c r="M213" i="2" s="1"/>
  <c r="N213" i="2" s="1"/>
  <c r="K193" i="2"/>
  <c r="M193" i="2" s="1"/>
  <c r="I193" i="2"/>
  <c r="I184" i="2"/>
  <c r="K184" i="2"/>
  <c r="M184" i="2" s="1"/>
  <c r="K189" i="2"/>
  <c r="M189" i="2" s="1"/>
  <c r="I189" i="2"/>
  <c r="I188" i="2"/>
  <c r="K188" i="2"/>
  <c r="M188" i="2" s="1"/>
  <c r="K185" i="2"/>
  <c r="M185" i="2" s="1"/>
  <c r="I185" i="2"/>
  <c r="I196" i="2"/>
  <c r="K196" i="2"/>
  <c r="M196" i="2" s="1"/>
  <c r="I192" i="2"/>
  <c r="K192" i="2"/>
  <c r="M192" i="2" s="1"/>
  <c r="K197" i="2"/>
  <c r="M197" i="2" s="1"/>
  <c r="I197" i="2"/>
  <c r="D165" i="2"/>
  <c r="D166" i="2" s="1"/>
  <c r="F166" i="2" s="1"/>
  <c r="I186" i="2"/>
  <c r="N186" i="2" s="1"/>
  <c r="I190" i="2"/>
  <c r="N190" i="2" s="1"/>
  <c r="I194" i="2"/>
  <c r="N194" i="2" s="1"/>
  <c r="I198" i="2"/>
  <c r="N198" i="2" s="1"/>
  <c r="K200" i="2"/>
  <c r="M200" i="2" s="1"/>
  <c r="N200" i="2" s="1"/>
  <c r="K204" i="2"/>
  <c r="M204" i="2" s="1"/>
  <c r="N204" i="2" s="1"/>
  <c r="K208" i="2"/>
  <c r="M208" i="2" s="1"/>
  <c r="N208" i="2" s="1"/>
  <c r="K212" i="2"/>
  <c r="M212" i="2" s="1"/>
  <c r="N212" i="2" s="1"/>
  <c r="K220" i="2"/>
  <c r="M220" i="2" s="1"/>
  <c r="N220" i="2" s="1"/>
  <c r="K222" i="2"/>
  <c r="M222" i="2" s="1"/>
  <c r="I222" i="2"/>
  <c r="K225" i="2"/>
  <c r="M225" i="2" s="1"/>
  <c r="I225" i="2"/>
  <c r="K241" i="2"/>
  <c r="M241" i="2" s="1"/>
  <c r="I241" i="2"/>
  <c r="K246" i="2"/>
  <c r="M246" i="2" s="1"/>
  <c r="I246" i="2"/>
  <c r="K226" i="2"/>
  <c r="M226" i="2" s="1"/>
  <c r="I226" i="2"/>
  <c r="K229" i="2"/>
  <c r="M229" i="2" s="1"/>
  <c r="I229" i="2"/>
  <c r="K237" i="2"/>
  <c r="M237" i="2" s="1"/>
  <c r="I237" i="2"/>
  <c r="K242" i="2"/>
  <c r="M242" i="2" s="1"/>
  <c r="I242" i="2"/>
  <c r="K253" i="2"/>
  <c r="M253" i="2" s="1"/>
  <c r="I253" i="2"/>
  <c r="K216" i="2"/>
  <c r="M216" i="2" s="1"/>
  <c r="N216" i="2" s="1"/>
  <c r="K218" i="2"/>
  <c r="M218" i="2" s="1"/>
  <c r="I218" i="2"/>
  <c r="K221" i="2"/>
  <c r="M221" i="2" s="1"/>
  <c r="I221" i="2"/>
  <c r="K232" i="2"/>
  <c r="M232" i="2" s="1"/>
  <c r="N232" i="2" s="1"/>
  <c r="K234" i="2"/>
  <c r="M234" i="2" s="1"/>
  <c r="I234" i="2"/>
  <c r="K245" i="2"/>
  <c r="M245" i="2" s="1"/>
  <c r="I245" i="2"/>
  <c r="K250" i="2"/>
  <c r="M250" i="2" s="1"/>
  <c r="I250" i="2"/>
  <c r="K202" i="2"/>
  <c r="M202" i="2" s="1"/>
  <c r="I202" i="2"/>
  <c r="K203" i="2"/>
  <c r="M203" i="2" s="1"/>
  <c r="N203" i="2" s="1"/>
  <c r="K206" i="2"/>
  <c r="M206" i="2" s="1"/>
  <c r="I206" i="2"/>
  <c r="K207" i="2"/>
  <c r="M207" i="2" s="1"/>
  <c r="N207" i="2" s="1"/>
  <c r="K210" i="2"/>
  <c r="M210" i="2" s="1"/>
  <c r="I210" i="2"/>
  <c r="K211" i="2"/>
  <c r="M211" i="2" s="1"/>
  <c r="N211" i="2" s="1"/>
  <c r="K214" i="2"/>
  <c r="M214" i="2" s="1"/>
  <c r="I214" i="2"/>
  <c r="K217" i="2"/>
  <c r="M217" i="2" s="1"/>
  <c r="I217" i="2"/>
  <c r="K230" i="2"/>
  <c r="M230" i="2" s="1"/>
  <c r="I230" i="2"/>
  <c r="K233" i="2"/>
  <c r="M233" i="2" s="1"/>
  <c r="I233" i="2"/>
  <c r="K238" i="2"/>
  <c r="M238" i="2" s="1"/>
  <c r="I238" i="2"/>
  <c r="K249" i="2"/>
  <c r="M249" i="2" s="1"/>
  <c r="I249" i="2"/>
  <c r="K254" i="2"/>
  <c r="M254" i="2" s="1"/>
  <c r="I254" i="2"/>
  <c r="I160" i="2"/>
  <c r="K160" i="2"/>
  <c r="M160" i="2" s="1"/>
  <c r="K162" i="2"/>
  <c r="M162" i="2" s="1"/>
  <c r="I162" i="2"/>
  <c r="K164" i="2"/>
  <c r="M164" i="2" s="1"/>
  <c r="I164" i="2"/>
  <c r="F158" i="2"/>
  <c r="I159" i="2"/>
  <c r="N159" i="2" s="1"/>
  <c r="I163" i="2"/>
  <c r="N163" i="2" s="1"/>
  <c r="A278" i="2" l="1"/>
  <c r="A279" i="2"/>
  <c r="A38" i="2"/>
  <c r="I430" i="2"/>
  <c r="N430" i="2" s="1"/>
  <c r="N422" i="2"/>
  <c r="I414" i="2"/>
  <c r="N414" i="2" s="1"/>
  <c r="N409" i="2"/>
  <c r="N417" i="2"/>
  <c r="N482" i="2"/>
  <c r="N436" i="2"/>
  <c r="N407" i="2"/>
  <c r="N185" i="2"/>
  <c r="N189" i="2"/>
  <c r="I406" i="2"/>
  <c r="N406" i="2" s="1"/>
  <c r="N408" i="2"/>
  <c r="I429" i="2"/>
  <c r="K429" i="2"/>
  <c r="M429" i="2" s="1"/>
  <c r="N411" i="2"/>
  <c r="K426" i="2"/>
  <c r="M426" i="2" s="1"/>
  <c r="I426" i="2"/>
  <c r="N421" i="2"/>
  <c r="I427" i="2"/>
  <c r="K427" i="2"/>
  <c r="M427" i="2" s="1"/>
  <c r="N427" i="2" s="1"/>
  <c r="N415" i="2"/>
  <c r="N419" i="2"/>
  <c r="N423" i="2"/>
  <c r="K413" i="2"/>
  <c r="M413" i="2" s="1"/>
  <c r="I413" i="2"/>
  <c r="N418" i="2"/>
  <c r="N297" i="2"/>
  <c r="N215" i="2"/>
  <c r="N161" i="2"/>
  <c r="N183" i="2"/>
  <c r="F165" i="2"/>
  <c r="N244" i="2"/>
  <c r="N236" i="2"/>
  <c r="N295" i="2"/>
  <c r="N230" i="2"/>
  <c r="N245" i="2"/>
  <c r="N199" i="2"/>
  <c r="N222" i="2"/>
  <c r="N187" i="2"/>
  <c r="N210" i="2"/>
  <c r="N233" i="2"/>
  <c r="N239" i="2"/>
  <c r="N214" i="2"/>
  <c r="N234" i="2"/>
  <c r="N229" i="2"/>
  <c r="N192" i="2"/>
  <c r="N255" i="2"/>
  <c r="N247" i="2"/>
  <c r="N217" i="2"/>
  <c r="N237" i="2"/>
  <c r="N241" i="2"/>
  <c r="N219" i="2"/>
  <c r="N252" i="2"/>
  <c r="N164" i="2"/>
  <c r="N249" i="2"/>
  <c r="N238" i="2"/>
  <c r="N206" i="2"/>
  <c r="N250" i="2"/>
  <c r="N218" i="2"/>
  <c r="N242" i="2"/>
  <c r="N246" i="2"/>
  <c r="N225" i="2"/>
  <c r="N162" i="2"/>
  <c r="N254" i="2"/>
  <c r="N202" i="2"/>
  <c r="N221" i="2"/>
  <c r="N253" i="2"/>
  <c r="N226" i="2"/>
  <c r="N160" i="2"/>
  <c r="N197" i="2"/>
  <c r="N196" i="2"/>
  <c r="N188" i="2"/>
  <c r="N184" i="2"/>
  <c r="N193" i="2"/>
  <c r="K165" i="2"/>
  <c r="M165" i="2" s="1"/>
  <c r="K158" i="2"/>
  <c r="M158" i="2" s="1"/>
  <c r="I158" i="2"/>
  <c r="K166" i="2"/>
  <c r="M166" i="2" s="1"/>
  <c r="I166" i="2"/>
  <c r="A280" i="2" l="1"/>
  <c r="A281" i="2" s="1"/>
  <c r="A282" i="2" s="1"/>
  <c r="A283" i="2" s="1"/>
  <c r="A284" i="2" s="1"/>
  <c r="A285" i="2" s="1"/>
  <c r="A286" i="2" s="1"/>
  <c r="A39" i="2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7" i="2" s="1"/>
  <c r="A149" i="2" s="1"/>
  <c r="A150" i="2" s="1"/>
  <c r="A151" i="2" s="1"/>
  <c r="A152" i="2" s="1"/>
  <c r="A153" i="2" s="1"/>
  <c r="P461" i="2"/>
  <c r="N429" i="2"/>
  <c r="N413" i="2"/>
  <c r="N426" i="2"/>
  <c r="N158" i="2"/>
  <c r="N166" i="2"/>
  <c r="A291" i="2" l="1"/>
  <c r="P155" i="2"/>
  <c r="A292" i="2" l="1"/>
  <c r="A293" i="2"/>
  <c r="D82" i="2"/>
  <c r="F178" i="2"/>
  <c r="D74" i="2"/>
  <c r="D73" i="2"/>
  <c r="D149" i="2"/>
  <c r="D140" i="2"/>
  <c r="D153" i="2"/>
  <c r="A295" i="2" l="1"/>
  <c r="K178" i="2"/>
  <c r="M178" i="2" s="1"/>
  <c r="I178" i="2"/>
  <c r="F153" i="2"/>
  <c r="K153" i="2" s="1"/>
  <c r="M153" i="2" s="1"/>
  <c r="F145" i="2"/>
  <c r="I145" i="2" s="1"/>
  <c r="F143" i="2"/>
  <c r="I143" i="2" s="1"/>
  <c r="F141" i="2"/>
  <c r="D151" i="2"/>
  <c r="F151" i="2" s="1"/>
  <c r="F149" i="2"/>
  <c r="F150" i="2"/>
  <c r="F152" i="2"/>
  <c r="I152" i="2" s="1"/>
  <c r="F172" i="2"/>
  <c r="F173" i="2"/>
  <c r="F175" i="2"/>
  <c r="K175" i="2" s="1"/>
  <c r="M175" i="2" s="1"/>
  <c r="F174" i="2"/>
  <c r="K174" i="2" s="1"/>
  <c r="M174" i="2" s="1"/>
  <c r="F177" i="2"/>
  <c r="K177" i="2" s="1"/>
  <c r="M177" i="2" s="1"/>
  <c r="F176" i="2"/>
  <c r="F181" i="2"/>
  <c r="K181" i="2" s="1"/>
  <c r="M181" i="2" s="1"/>
  <c r="F180" i="2"/>
  <c r="A170" i="2"/>
  <c r="A169" i="2"/>
  <c r="D144" i="2"/>
  <c r="F144" i="2" s="1"/>
  <c r="K144" i="2" s="1"/>
  <c r="M144" i="2" s="1"/>
  <c r="D142" i="2"/>
  <c r="F142" i="2" s="1"/>
  <c r="D89" i="2"/>
  <c r="F89" i="2" s="1"/>
  <c r="D88" i="2"/>
  <c r="F88" i="2" s="1"/>
  <c r="K88" i="2" s="1"/>
  <c r="M88" i="2" s="1"/>
  <c r="D87" i="2"/>
  <c r="F87" i="2" s="1"/>
  <c r="I87" i="2" s="1"/>
  <c r="D86" i="2"/>
  <c r="F86" i="2" s="1"/>
  <c r="I86" i="2" s="1"/>
  <c r="D85" i="2"/>
  <c r="F85" i="2" s="1"/>
  <c r="D84" i="2"/>
  <c r="F84" i="2" s="1"/>
  <c r="K84" i="2" s="1"/>
  <c r="M84" i="2" s="1"/>
  <c r="D83" i="2"/>
  <c r="F83" i="2" s="1"/>
  <c r="K83" i="2" s="1"/>
  <c r="M83" i="2" s="1"/>
  <c r="F81" i="2"/>
  <c r="I81" i="2" s="1"/>
  <c r="F80" i="2"/>
  <c r="K80" i="2" s="1"/>
  <c r="M80" i="2" s="1"/>
  <c r="F79" i="2"/>
  <c r="I79" i="2" s="1"/>
  <c r="D78" i="2"/>
  <c r="F78" i="2" s="1"/>
  <c r="K78" i="2" s="1"/>
  <c r="M78" i="2" s="1"/>
  <c r="D77" i="2"/>
  <c r="F77" i="2" s="1"/>
  <c r="I77" i="2" s="1"/>
  <c r="D76" i="2"/>
  <c r="F76" i="2" s="1"/>
  <c r="K76" i="2" s="1"/>
  <c r="M76" i="2" s="1"/>
  <c r="D46" i="2"/>
  <c r="F46" i="2" s="1"/>
  <c r="K46" i="2" s="1"/>
  <c r="M46" i="2" s="1"/>
  <c r="F82" i="2"/>
  <c r="I82" i="2" s="1"/>
  <c r="F74" i="2"/>
  <c r="K74" i="2" s="1"/>
  <c r="M74" i="2" s="1"/>
  <c r="F73" i="2"/>
  <c r="I73" i="2" s="1"/>
  <c r="F72" i="2"/>
  <c r="K72" i="2" s="1"/>
  <c r="M72" i="2" s="1"/>
  <c r="F71" i="2"/>
  <c r="F70" i="2"/>
  <c r="K70" i="2" s="1"/>
  <c r="M70" i="2" s="1"/>
  <c r="F69" i="2"/>
  <c r="K69" i="2" s="1"/>
  <c r="M69" i="2" s="1"/>
  <c r="F68" i="2"/>
  <c r="I68" i="2" s="1"/>
  <c r="F67" i="2"/>
  <c r="I67" i="2" s="1"/>
  <c r="F66" i="2"/>
  <c r="K66" i="2" s="1"/>
  <c r="M66" i="2" s="1"/>
  <c r="F65" i="2"/>
  <c r="K65" i="2" s="1"/>
  <c r="M65" i="2" s="1"/>
  <c r="F64" i="2"/>
  <c r="I64" i="2" s="1"/>
  <c r="F63" i="2"/>
  <c r="I63" i="2" s="1"/>
  <c r="F62" i="2"/>
  <c r="K62" i="2" s="1"/>
  <c r="M62" i="2" s="1"/>
  <c r="F61" i="2"/>
  <c r="K61" i="2" s="1"/>
  <c r="M61" i="2" s="1"/>
  <c r="F60" i="2"/>
  <c r="I60" i="2" s="1"/>
  <c r="F59" i="2"/>
  <c r="I59" i="2" s="1"/>
  <c r="F58" i="2"/>
  <c r="I58" i="2" s="1"/>
  <c r="F57" i="2"/>
  <c r="K57" i="2" s="1"/>
  <c r="M57" i="2" s="1"/>
  <c r="F56" i="2"/>
  <c r="I56" i="2" s="1"/>
  <c r="F55" i="2"/>
  <c r="I55" i="2" s="1"/>
  <c r="F54" i="2"/>
  <c r="K54" i="2" s="1"/>
  <c r="M54" i="2" s="1"/>
  <c r="F53" i="2"/>
  <c r="K53" i="2" s="1"/>
  <c r="M53" i="2" s="1"/>
  <c r="F52" i="2"/>
  <c r="I52" i="2" s="1"/>
  <c r="F51" i="2"/>
  <c r="I51" i="2" s="1"/>
  <c r="F50" i="2"/>
  <c r="K50" i="2" s="1"/>
  <c r="M50" i="2" s="1"/>
  <c r="F49" i="2"/>
  <c r="K49" i="2" s="1"/>
  <c r="M49" i="2" s="1"/>
  <c r="F48" i="2"/>
  <c r="I48" i="2" s="1"/>
  <c r="F47" i="2"/>
  <c r="I47" i="2" s="1"/>
  <c r="A296" i="2" l="1"/>
  <c r="I176" i="2"/>
  <c r="K180" i="2"/>
  <c r="M180" i="2" s="1"/>
  <c r="N178" i="2"/>
  <c r="K145" i="2"/>
  <c r="M145" i="2" s="1"/>
  <c r="N145" i="2" s="1"/>
  <c r="K143" i="2"/>
  <c r="M143" i="2" s="1"/>
  <c r="N143" i="2" s="1"/>
  <c r="K141" i="2"/>
  <c r="M141" i="2" s="1"/>
  <c r="I141" i="2"/>
  <c r="K152" i="2"/>
  <c r="M152" i="2" s="1"/>
  <c r="N152" i="2" s="1"/>
  <c r="I153" i="2"/>
  <c r="N153" i="2" s="1"/>
  <c r="K173" i="2"/>
  <c r="M173" i="2" s="1"/>
  <c r="I173" i="2"/>
  <c r="F171" i="2"/>
  <c r="K171" i="2" s="1"/>
  <c r="M171" i="2" s="1"/>
  <c r="I70" i="2"/>
  <c r="N70" i="2" s="1"/>
  <c r="K58" i="2"/>
  <c r="M58" i="2" s="1"/>
  <c r="N58" i="2" s="1"/>
  <c r="K73" i="2"/>
  <c r="M73" i="2" s="1"/>
  <c r="N73" i="2" s="1"/>
  <c r="K48" i="2"/>
  <c r="M48" i="2" s="1"/>
  <c r="N48" i="2" s="1"/>
  <c r="I62" i="2"/>
  <c r="N62" i="2" s="1"/>
  <c r="I180" i="2"/>
  <c r="N180" i="2" s="1"/>
  <c r="I181" i="2"/>
  <c r="N181" i="2" s="1"/>
  <c r="I177" i="2"/>
  <c r="N177" i="2" s="1"/>
  <c r="K176" i="2"/>
  <c r="M176" i="2" s="1"/>
  <c r="I174" i="2"/>
  <c r="N174" i="2" s="1"/>
  <c r="I172" i="2"/>
  <c r="K172" i="2"/>
  <c r="M172" i="2" s="1"/>
  <c r="I175" i="2"/>
  <c r="N175" i="2" s="1"/>
  <c r="I89" i="2"/>
  <c r="K89" i="2"/>
  <c r="M89" i="2" s="1"/>
  <c r="I85" i="2"/>
  <c r="K85" i="2"/>
  <c r="M85" i="2" s="1"/>
  <c r="K87" i="2"/>
  <c r="M87" i="2" s="1"/>
  <c r="N87" i="2" s="1"/>
  <c r="I84" i="2"/>
  <c r="N84" i="2" s="1"/>
  <c r="I78" i="2"/>
  <c r="N78" i="2" s="1"/>
  <c r="K79" i="2"/>
  <c r="M79" i="2" s="1"/>
  <c r="N79" i="2" s="1"/>
  <c r="I83" i="2"/>
  <c r="N83" i="2" s="1"/>
  <c r="K82" i="2"/>
  <c r="M82" i="2" s="1"/>
  <c r="N82" i="2" s="1"/>
  <c r="K86" i="2"/>
  <c r="M86" i="2" s="1"/>
  <c r="N86" i="2" s="1"/>
  <c r="I88" i="2"/>
  <c r="N88" i="2" s="1"/>
  <c r="K68" i="2"/>
  <c r="M68" i="2" s="1"/>
  <c r="N68" i="2" s="1"/>
  <c r="I74" i="2"/>
  <c r="N74" i="2" s="1"/>
  <c r="I72" i="2"/>
  <c r="N72" i="2" s="1"/>
  <c r="I66" i="2"/>
  <c r="N66" i="2" s="1"/>
  <c r="K64" i="2"/>
  <c r="M64" i="2" s="1"/>
  <c r="N64" i="2" s="1"/>
  <c r="K60" i="2"/>
  <c r="M60" i="2" s="1"/>
  <c r="N60" i="2" s="1"/>
  <c r="K56" i="2"/>
  <c r="M56" i="2" s="1"/>
  <c r="N56" i="2" s="1"/>
  <c r="K52" i="2"/>
  <c r="M52" i="2" s="1"/>
  <c r="N52" i="2" s="1"/>
  <c r="I54" i="2"/>
  <c r="N54" i="2" s="1"/>
  <c r="I50" i="2"/>
  <c r="N50" i="2" s="1"/>
  <c r="I46" i="2"/>
  <c r="N46" i="2" s="1"/>
  <c r="I151" i="2"/>
  <c r="K151" i="2"/>
  <c r="M151" i="2" s="1"/>
  <c r="I149" i="2"/>
  <c r="K149" i="2"/>
  <c r="M149" i="2" s="1"/>
  <c r="I150" i="2"/>
  <c r="K150" i="2"/>
  <c r="M150" i="2" s="1"/>
  <c r="K142" i="2"/>
  <c r="M142" i="2" s="1"/>
  <c r="I142" i="2"/>
  <c r="I144" i="2"/>
  <c r="N144" i="2" s="1"/>
  <c r="K77" i="2"/>
  <c r="M77" i="2" s="1"/>
  <c r="N77" i="2" s="1"/>
  <c r="K81" i="2"/>
  <c r="M81" i="2" s="1"/>
  <c r="N81" i="2" s="1"/>
  <c r="I76" i="2"/>
  <c r="N76" i="2" s="1"/>
  <c r="I80" i="2"/>
  <c r="N80" i="2" s="1"/>
  <c r="I71" i="2"/>
  <c r="K47" i="2"/>
  <c r="M47" i="2" s="1"/>
  <c r="N47" i="2" s="1"/>
  <c r="K51" i="2"/>
  <c r="M51" i="2" s="1"/>
  <c r="N51" i="2" s="1"/>
  <c r="K55" i="2"/>
  <c r="M55" i="2" s="1"/>
  <c r="N55" i="2" s="1"/>
  <c r="K59" i="2"/>
  <c r="M59" i="2" s="1"/>
  <c r="N59" i="2" s="1"/>
  <c r="K63" i="2"/>
  <c r="M63" i="2" s="1"/>
  <c r="N63" i="2" s="1"/>
  <c r="K67" i="2"/>
  <c r="M67" i="2" s="1"/>
  <c r="N67" i="2" s="1"/>
  <c r="K71" i="2"/>
  <c r="M71" i="2" s="1"/>
  <c r="I49" i="2"/>
  <c r="N49" i="2" s="1"/>
  <c r="I53" i="2"/>
  <c r="N53" i="2" s="1"/>
  <c r="I57" i="2"/>
  <c r="N57" i="2" s="1"/>
  <c r="I61" i="2"/>
  <c r="N61" i="2" s="1"/>
  <c r="I65" i="2"/>
  <c r="N65" i="2" s="1"/>
  <c r="I69" i="2"/>
  <c r="N69" i="2" s="1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45" i="2"/>
  <c r="D44" i="2"/>
  <c r="D43" i="2"/>
  <c r="D42" i="2"/>
  <c r="D41" i="2"/>
  <c r="D40" i="2"/>
  <c r="D39" i="2"/>
  <c r="D38" i="2"/>
  <c r="A297" i="2" l="1"/>
  <c r="A298" i="2" s="1"/>
  <c r="A299" i="2" s="1"/>
  <c r="A300" i="2" s="1"/>
  <c r="A302" i="2" s="1"/>
  <c r="A304" i="2" s="1"/>
  <c r="A305" i="2" s="1"/>
  <c r="A306" i="2" s="1"/>
  <c r="A307" i="2" s="1"/>
  <c r="A309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7" i="2" s="1"/>
  <c r="A379" i="2" s="1"/>
  <c r="A384" i="2" s="1"/>
  <c r="A385" i="2" s="1"/>
  <c r="A386" i="2" s="1"/>
  <c r="A387" i="2" s="1"/>
  <c r="N176" i="2"/>
  <c r="N141" i="2"/>
  <c r="N173" i="2"/>
  <c r="I171" i="2"/>
  <c r="N171" i="2" s="1"/>
  <c r="N149" i="2"/>
  <c r="N172" i="2"/>
  <c r="N89" i="2"/>
  <c r="N85" i="2"/>
  <c r="N151" i="2"/>
  <c r="N142" i="2"/>
  <c r="N150" i="2"/>
  <c r="N71" i="2"/>
  <c r="F140" i="2"/>
  <c r="D138" i="2"/>
  <c r="D137" i="2"/>
  <c r="D136" i="2"/>
  <c r="F136" i="2" s="1"/>
  <c r="F139" i="2"/>
  <c r="K139" i="2" s="1"/>
  <c r="M139" i="2" s="1"/>
  <c r="D135" i="2"/>
  <c r="F45" i="2"/>
  <c r="F43" i="2"/>
  <c r="F42" i="2"/>
  <c r="F41" i="2"/>
  <c r="F39" i="2"/>
  <c r="F40" i="2"/>
  <c r="F38" i="2"/>
  <c r="F44" i="2"/>
  <c r="D36" i="2"/>
  <c r="F36" i="2" s="1"/>
  <c r="D35" i="2"/>
  <c r="F35" i="2" s="1"/>
  <c r="D34" i="2"/>
  <c r="F34" i="2" s="1"/>
  <c r="D33" i="2"/>
  <c r="F33" i="2" s="1"/>
  <c r="D32" i="2"/>
  <c r="F32" i="2" s="1"/>
  <c r="D31" i="2"/>
  <c r="F31" i="2" s="1"/>
  <c r="D30" i="2"/>
  <c r="F30" i="2" s="1"/>
  <c r="D29" i="2"/>
  <c r="F29" i="2" s="1"/>
  <c r="D28" i="2"/>
  <c r="F28" i="2" s="1"/>
  <c r="F129" i="2"/>
  <c r="F126" i="2"/>
  <c r="F125" i="2"/>
  <c r="K125" i="2" s="1"/>
  <c r="M125" i="2" s="1"/>
  <c r="F122" i="2"/>
  <c r="K122" i="2" s="1"/>
  <c r="M122" i="2" s="1"/>
  <c r="F123" i="2"/>
  <c r="F121" i="2"/>
  <c r="K121" i="2" s="1"/>
  <c r="M121" i="2" s="1"/>
  <c r="F133" i="2"/>
  <c r="F132" i="2"/>
  <c r="K132" i="2" s="1"/>
  <c r="M132" i="2" s="1"/>
  <c r="F131" i="2"/>
  <c r="K131" i="2" s="1"/>
  <c r="M131" i="2" s="1"/>
  <c r="F130" i="2"/>
  <c r="I130" i="2" s="1"/>
  <c r="F128" i="2"/>
  <c r="K128" i="2" s="1"/>
  <c r="M128" i="2" s="1"/>
  <c r="F127" i="2"/>
  <c r="K127" i="2" s="1"/>
  <c r="M127" i="2" s="1"/>
  <c r="F124" i="2"/>
  <c r="I124" i="2" s="1"/>
  <c r="A388" i="2" l="1"/>
  <c r="A389" i="2" s="1"/>
  <c r="A390" i="2" s="1"/>
  <c r="A391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7" i="2" s="1"/>
  <c r="A418" i="2" s="1"/>
  <c r="A419" i="2" s="1"/>
  <c r="A420" i="2" s="1"/>
  <c r="A421" i="2" s="1"/>
  <c r="A422" i="2" s="1"/>
  <c r="A423" i="2" s="1"/>
  <c r="A424" i="2" s="1"/>
  <c r="A426" i="2" s="1"/>
  <c r="A427" i="2" s="1"/>
  <c r="A429" i="2" s="1"/>
  <c r="A430" i="2" s="1"/>
  <c r="A431" i="2" s="1"/>
  <c r="A432" i="2" s="1"/>
  <c r="A433" i="2" s="1"/>
  <c r="A435" i="2" s="1"/>
  <c r="A436" i="2" s="1"/>
  <c r="A441" i="2" s="1"/>
  <c r="A442" i="2" s="1"/>
  <c r="A443" i="2" s="1"/>
  <c r="A444" i="2" s="1"/>
  <c r="A445" i="2" s="1"/>
  <c r="A446" i="2" s="1"/>
  <c r="A447" i="2" s="1"/>
  <c r="A448" i="2" s="1"/>
  <c r="A449" i="2" s="1"/>
  <c r="A454" i="2" s="1"/>
  <c r="A455" i="2" s="1"/>
  <c r="A456" i="2" s="1"/>
  <c r="A457" i="2" s="1"/>
  <c r="A458" i="2" s="1"/>
  <c r="A459" i="2" s="1"/>
  <c r="A464" i="2" s="1"/>
  <c r="A465" i="2" s="1"/>
  <c r="A466" i="2" s="1"/>
  <c r="A467" i="2" s="1"/>
  <c r="A468" i="2" s="1"/>
  <c r="A469" i="2" s="1"/>
  <c r="A470" i="2" s="1"/>
  <c r="K30" i="2"/>
  <c r="M30" i="2" s="1"/>
  <c r="K38" i="2"/>
  <c r="M38" i="2" s="1"/>
  <c r="K42" i="2"/>
  <c r="M42" i="2" s="1"/>
  <c r="I35" i="2"/>
  <c r="K40" i="2"/>
  <c r="M40" i="2" s="1"/>
  <c r="K43" i="2"/>
  <c r="M43" i="2" s="1"/>
  <c r="K32" i="2"/>
  <c r="M32" i="2" s="1"/>
  <c r="K36" i="2"/>
  <c r="M36" i="2" s="1"/>
  <c r="K39" i="2"/>
  <c r="M39" i="2" s="1"/>
  <c r="K45" i="2"/>
  <c r="M45" i="2" s="1"/>
  <c r="I29" i="2"/>
  <c r="K33" i="2"/>
  <c r="M33" i="2" s="1"/>
  <c r="K44" i="2"/>
  <c r="M44" i="2" s="1"/>
  <c r="K41" i="2"/>
  <c r="M41" i="2" s="1"/>
  <c r="P168" i="2"/>
  <c r="K140" i="2"/>
  <c r="M140" i="2" s="1"/>
  <c r="I140" i="2"/>
  <c r="K136" i="2"/>
  <c r="M136" i="2" s="1"/>
  <c r="I136" i="2"/>
  <c r="I139" i="2"/>
  <c r="N139" i="2" s="1"/>
  <c r="I44" i="2"/>
  <c r="N44" i="2" s="1"/>
  <c r="I40" i="2"/>
  <c r="I38" i="2"/>
  <c r="I42" i="2"/>
  <c r="I39" i="2"/>
  <c r="N39" i="2" s="1"/>
  <c r="I41" i="2"/>
  <c r="N41" i="2" s="1"/>
  <c r="I45" i="2"/>
  <c r="I43" i="2"/>
  <c r="K29" i="2"/>
  <c r="M29" i="2" s="1"/>
  <c r="I31" i="2"/>
  <c r="K31" i="2"/>
  <c r="M31" i="2" s="1"/>
  <c r="K35" i="2"/>
  <c r="M35" i="2" s="1"/>
  <c r="N35" i="2" s="1"/>
  <c r="I30" i="2"/>
  <c r="N30" i="2" s="1"/>
  <c r="I28" i="2"/>
  <c r="K28" i="2"/>
  <c r="M28" i="2" s="1"/>
  <c r="I33" i="2"/>
  <c r="I32" i="2"/>
  <c r="I34" i="2"/>
  <c r="K34" i="2"/>
  <c r="M34" i="2" s="1"/>
  <c r="I36" i="2"/>
  <c r="N36" i="2" s="1"/>
  <c r="K130" i="2"/>
  <c r="M130" i="2" s="1"/>
  <c r="N130" i="2" s="1"/>
  <c r="I129" i="2"/>
  <c r="K133" i="2"/>
  <c r="M133" i="2" s="1"/>
  <c r="I128" i="2"/>
  <c r="N128" i="2" s="1"/>
  <c r="I132" i="2"/>
  <c r="N132" i="2" s="1"/>
  <c r="K129" i="2"/>
  <c r="M129" i="2" s="1"/>
  <c r="I133" i="2"/>
  <c r="I127" i="2"/>
  <c r="N127" i="2" s="1"/>
  <c r="I131" i="2"/>
  <c r="N131" i="2" s="1"/>
  <c r="I122" i="2"/>
  <c r="N122" i="2" s="1"/>
  <c r="I121" i="2"/>
  <c r="N121" i="2" s="1"/>
  <c r="K124" i="2"/>
  <c r="M124" i="2" s="1"/>
  <c r="N124" i="2" s="1"/>
  <c r="I123" i="2"/>
  <c r="K123" i="2"/>
  <c r="M123" i="2" s="1"/>
  <c r="I126" i="2"/>
  <c r="K126" i="2"/>
  <c r="M126" i="2" s="1"/>
  <c r="I125" i="2"/>
  <c r="N125" i="2" s="1"/>
  <c r="F102" i="2"/>
  <c r="K102" i="2" s="1"/>
  <c r="M102" i="2" s="1"/>
  <c r="F101" i="2"/>
  <c r="K101" i="2" s="1"/>
  <c r="M101" i="2" s="1"/>
  <c r="F100" i="2"/>
  <c r="K100" i="2" s="1"/>
  <c r="M100" i="2" s="1"/>
  <c r="F99" i="2"/>
  <c r="K99" i="2" s="1"/>
  <c r="M99" i="2" s="1"/>
  <c r="F98" i="2"/>
  <c r="I98" i="2" s="1"/>
  <c r="F107" i="2"/>
  <c r="K107" i="2" s="1"/>
  <c r="M107" i="2" s="1"/>
  <c r="F106" i="2"/>
  <c r="I106" i="2" s="1"/>
  <c r="F105" i="2"/>
  <c r="K105" i="2" s="1"/>
  <c r="M105" i="2" s="1"/>
  <c r="F104" i="2"/>
  <c r="I104" i="2" s="1"/>
  <c r="F103" i="2"/>
  <c r="K103" i="2" s="1"/>
  <c r="M103" i="2" s="1"/>
  <c r="F112" i="2"/>
  <c r="I112" i="2" s="1"/>
  <c r="F111" i="2"/>
  <c r="I111" i="2" s="1"/>
  <c r="F110" i="2"/>
  <c r="I110" i="2" s="1"/>
  <c r="F109" i="2"/>
  <c r="F108" i="2"/>
  <c r="K108" i="2" s="1"/>
  <c r="M108" i="2" s="1"/>
  <c r="F117" i="2"/>
  <c r="K117" i="2" s="1"/>
  <c r="M117" i="2" s="1"/>
  <c r="F116" i="2"/>
  <c r="I116" i="2" s="1"/>
  <c r="F115" i="2"/>
  <c r="K115" i="2" s="1"/>
  <c r="M115" i="2" s="1"/>
  <c r="F114" i="2"/>
  <c r="I114" i="2" s="1"/>
  <c r="F113" i="2"/>
  <c r="K113" i="2" s="1"/>
  <c r="M113" i="2" s="1"/>
  <c r="F94" i="2"/>
  <c r="I94" i="2" s="1"/>
  <c r="F93" i="2"/>
  <c r="I93" i="2" s="1"/>
  <c r="F92" i="2"/>
  <c r="F91" i="2"/>
  <c r="K91" i="2" s="1"/>
  <c r="M91" i="2" s="1"/>
  <c r="F118" i="2"/>
  <c r="I118" i="2" s="1"/>
  <c r="F97" i="2"/>
  <c r="I97" i="2" s="1"/>
  <c r="F96" i="2"/>
  <c r="F95" i="2"/>
  <c r="K95" i="2" s="1"/>
  <c r="M95" i="2" s="1"/>
  <c r="A471" i="2" l="1"/>
  <c r="A472" i="2" s="1"/>
  <c r="N32" i="2"/>
  <c r="N29" i="2"/>
  <c r="N33" i="2"/>
  <c r="N42" i="2"/>
  <c r="N43" i="2"/>
  <c r="N45" i="2"/>
  <c r="N38" i="2"/>
  <c r="N40" i="2"/>
  <c r="N140" i="2"/>
  <c r="N136" i="2"/>
  <c r="N28" i="2"/>
  <c r="N34" i="2"/>
  <c r="N31" i="2"/>
  <c r="N129" i="2"/>
  <c r="K112" i="2"/>
  <c r="M112" i="2" s="1"/>
  <c r="N112" i="2" s="1"/>
  <c r="K98" i="2"/>
  <c r="M98" i="2" s="1"/>
  <c r="N98" i="2" s="1"/>
  <c r="N133" i="2"/>
  <c r="I105" i="2"/>
  <c r="N105" i="2" s="1"/>
  <c r="I115" i="2"/>
  <c r="N115" i="2" s="1"/>
  <c r="K106" i="2"/>
  <c r="M106" i="2" s="1"/>
  <c r="N106" i="2" s="1"/>
  <c r="I100" i="2"/>
  <c r="N100" i="2" s="1"/>
  <c r="K110" i="2"/>
  <c r="M110" i="2" s="1"/>
  <c r="N110" i="2" s="1"/>
  <c r="I107" i="2"/>
  <c r="N107" i="2" s="1"/>
  <c r="K104" i="2"/>
  <c r="M104" i="2" s="1"/>
  <c r="N104" i="2" s="1"/>
  <c r="K109" i="2"/>
  <c r="M109" i="2" s="1"/>
  <c r="K111" i="2"/>
  <c r="M111" i="2" s="1"/>
  <c r="N111" i="2" s="1"/>
  <c r="I103" i="2"/>
  <c r="N103" i="2" s="1"/>
  <c r="I109" i="2"/>
  <c r="I102" i="2"/>
  <c r="N102" i="2" s="1"/>
  <c r="I108" i="2"/>
  <c r="N108" i="2" s="1"/>
  <c r="N123" i="2"/>
  <c r="K118" i="2"/>
  <c r="M118" i="2" s="1"/>
  <c r="N118" i="2" s="1"/>
  <c r="K116" i="2"/>
  <c r="M116" i="2" s="1"/>
  <c r="N116" i="2" s="1"/>
  <c r="N126" i="2"/>
  <c r="I99" i="2"/>
  <c r="N99" i="2" s="1"/>
  <c r="I101" i="2"/>
  <c r="N101" i="2" s="1"/>
  <c r="K114" i="2"/>
  <c r="M114" i="2" s="1"/>
  <c r="N114" i="2" s="1"/>
  <c r="I113" i="2"/>
  <c r="N113" i="2" s="1"/>
  <c r="I117" i="2"/>
  <c r="N117" i="2" s="1"/>
  <c r="K97" i="2"/>
  <c r="M97" i="2" s="1"/>
  <c r="N97" i="2" s="1"/>
  <c r="K93" i="2"/>
  <c r="M93" i="2" s="1"/>
  <c r="N93" i="2" s="1"/>
  <c r="K92" i="2"/>
  <c r="M92" i="2" s="1"/>
  <c r="I92" i="2"/>
  <c r="K94" i="2"/>
  <c r="M94" i="2" s="1"/>
  <c r="N94" i="2" s="1"/>
  <c r="I91" i="2"/>
  <c r="N91" i="2" s="1"/>
  <c r="I96" i="2"/>
  <c r="K96" i="2"/>
  <c r="M96" i="2" s="1"/>
  <c r="I95" i="2"/>
  <c r="N95" i="2" s="1"/>
  <c r="C4" i="3"/>
  <c r="C2" i="3"/>
  <c r="A473" i="2" l="1"/>
  <c r="A474" i="2"/>
  <c r="N109" i="2"/>
  <c r="N92" i="2"/>
  <c r="N96" i="2"/>
  <c r="A990" i="2"/>
  <c r="A993" i="2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34" i="3"/>
  <c r="A33" i="3"/>
  <c r="A32" i="3"/>
  <c r="L31" i="3"/>
  <c r="A31" i="3"/>
  <c r="L30" i="3"/>
  <c r="A30" i="3"/>
  <c r="A29" i="3"/>
  <c r="A28" i="3"/>
  <c r="A27" i="3"/>
  <c r="L26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26" i="2"/>
  <c r="A27" i="2"/>
  <c r="A167" i="2"/>
  <c r="A23" i="2"/>
  <c r="A9" i="2"/>
  <c r="A12" i="2"/>
  <c r="A8" i="2"/>
  <c r="A476" i="2" l="1"/>
  <c r="A477" i="2" s="1"/>
  <c r="A478" i="2" s="1"/>
  <c r="L34" i="3"/>
  <c r="F138" i="2"/>
  <c r="I138" i="2" s="1"/>
  <c r="F120" i="2"/>
  <c r="I120" i="2" s="1"/>
  <c r="F119" i="2"/>
  <c r="F137" i="2"/>
  <c r="I137" i="2" s="1"/>
  <c r="F135" i="2"/>
  <c r="A479" i="2" l="1"/>
  <c r="A480" i="2" s="1"/>
  <c r="A482" i="2" s="1"/>
  <c r="A487" i="2" s="1"/>
  <c r="A488" i="2" s="1"/>
  <c r="A490" i="2" s="1"/>
  <c r="A495" i="2" s="1"/>
  <c r="A496" i="2" s="1"/>
  <c r="A497" i="2" s="1"/>
  <c r="A498" i="2" s="1"/>
  <c r="A499" i="2" s="1"/>
  <c r="A500" i="2" s="1"/>
  <c r="A501" i="2" s="1"/>
  <c r="A503" i="2" s="1"/>
  <c r="A504" i="2" s="1"/>
  <c r="A506" i="2" s="1"/>
  <c r="A507" i="2" s="1"/>
  <c r="A508" i="2" s="1"/>
  <c r="A510" i="2" s="1"/>
  <c r="A511" i="2" s="1"/>
  <c r="A512" i="2" s="1"/>
  <c r="A513" i="2" s="1"/>
  <c r="A514" i="2" s="1"/>
  <c r="A515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K119" i="2"/>
  <c r="M119" i="2" s="1"/>
  <c r="K138" i="2"/>
  <c r="M138" i="2" s="1"/>
  <c r="N138" i="2" s="1"/>
  <c r="K120" i="2"/>
  <c r="M120" i="2" s="1"/>
  <c r="N120" i="2" s="1"/>
  <c r="I119" i="2"/>
  <c r="K137" i="2"/>
  <c r="M137" i="2" s="1"/>
  <c r="N137" i="2" s="1"/>
  <c r="A531" i="2" l="1"/>
  <c r="A532" i="2" s="1"/>
  <c r="A533" i="2" s="1"/>
  <c r="A534" i="2" s="1"/>
  <c r="A535" i="2" s="1"/>
  <c r="A536" i="2" s="1"/>
  <c r="A537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1" i="2" s="1"/>
  <c r="A552" i="2" s="1"/>
  <c r="A553" i="2" s="1"/>
  <c r="A554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9" i="2" s="1"/>
  <c r="A640" i="2" s="1"/>
  <c r="A641" i="2" s="1"/>
  <c r="A642" i="2" s="1"/>
  <c r="N119" i="2"/>
  <c r="F22" i="2"/>
  <c r="K22" i="2" s="1"/>
  <c r="M22" i="2" s="1"/>
  <c r="F21" i="2"/>
  <c r="F20" i="2"/>
  <c r="K20" i="2" s="1"/>
  <c r="M20" i="2" s="1"/>
  <c r="F19" i="2"/>
  <c r="F18" i="2"/>
  <c r="F17" i="2"/>
  <c r="K17" i="2" s="1"/>
  <c r="M17" i="2" s="1"/>
  <c r="F16" i="2"/>
  <c r="F15" i="2"/>
  <c r="F14" i="2"/>
  <c r="K14" i="2" s="1"/>
  <c r="M14" i="2" s="1"/>
  <c r="F13" i="2"/>
  <c r="F11" i="2"/>
  <c r="I11" i="2" s="1"/>
  <c r="F10" i="2"/>
  <c r="A25" i="2"/>
  <c r="A643" i="2" l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9" i="2" s="1"/>
  <c r="A780" i="2" s="1"/>
  <c r="A781" i="2" s="1"/>
  <c r="A782" i="2" s="1"/>
  <c r="A783" i="2" s="1"/>
  <c r="A784" i="2" s="1"/>
  <c r="A785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8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50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8" i="2" s="1"/>
  <c r="A879" i="2" s="1"/>
  <c r="A880" i="2" s="1"/>
  <c r="A881" i="2" s="1"/>
  <c r="A882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50" i="2" s="1"/>
  <c r="A951" i="2" s="1"/>
  <c r="A952" i="2" s="1"/>
  <c r="A953" i="2" s="1"/>
  <c r="A954" i="2" s="1"/>
  <c r="A960" i="2" s="1"/>
  <c r="A961" i="2" s="1"/>
  <c r="A962" i="2" s="1"/>
  <c r="A963" i="2" s="1"/>
  <c r="I16" i="2"/>
  <c r="K10" i="2"/>
  <c r="M10" i="2" s="1"/>
  <c r="A10" i="2"/>
  <c r="K13" i="2"/>
  <c r="M13" i="2" s="1"/>
  <c r="I18" i="2"/>
  <c r="I19" i="2"/>
  <c r="K21" i="2"/>
  <c r="M21" i="2" s="1"/>
  <c r="K11" i="2"/>
  <c r="M11" i="2" s="1"/>
  <c r="N11" i="2" s="1"/>
  <c r="I20" i="2"/>
  <c r="N20" i="2" s="1"/>
  <c r="I21" i="2"/>
  <c r="K18" i="2"/>
  <c r="M18" i="2" s="1"/>
  <c r="I13" i="2"/>
  <c r="K16" i="2"/>
  <c r="M16" i="2" s="1"/>
  <c r="K15" i="2"/>
  <c r="M15" i="2" s="1"/>
  <c r="K19" i="2"/>
  <c r="M19" i="2" s="1"/>
  <c r="I15" i="2"/>
  <c r="I14" i="2"/>
  <c r="N14" i="2" s="1"/>
  <c r="I22" i="2"/>
  <c r="N22" i="2" s="1"/>
  <c r="I17" i="2"/>
  <c r="N17" i="2" s="1"/>
  <c r="I10" i="2"/>
  <c r="A964" i="2" l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N16" i="2"/>
  <c r="N21" i="2"/>
  <c r="N19" i="2"/>
  <c r="N18" i="2"/>
  <c r="A11" i="2"/>
  <c r="N13" i="2"/>
  <c r="N10" i="2"/>
  <c r="N15" i="2"/>
  <c r="P7" i="2" l="1"/>
  <c r="A13" i="2"/>
  <c r="L13" i="3"/>
  <c r="A14" i="2" l="1"/>
  <c r="K12" i="3"/>
  <c r="A15" i="2" l="1"/>
  <c r="L12" i="3"/>
  <c r="A16" i="2" l="1"/>
  <c r="A17" i="2" l="1"/>
  <c r="L29" i="3"/>
  <c r="A18" i="2" l="1"/>
  <c r="L19" i="3"/>
  <c r="A19" i="2" l="1"/>
  <c r="A20" i="2" l="1"/>
  <c r="I135" i="2"/>
  <c r="K135" i="2"/>
  <c r="M135" i="2" s="1"/>
  <c r="F992" i="2"/>
  <c r="F991" i="2"/>
  <c r="A21" i="2" l="1"/>
  <c r="A22" i="2" s="1"/>
  <c r="L25" i="3"/>
  <c r="L24" i="3"/>
  <c r="K991" i="2"/>
  <c r="M991" i="2" s="1"/>
  <c r="I992" i="2"/>
  <c r="K992" i="2"/>
  <c r="M992" i="2" s="1"/>
  <c r="N135" i="2"/>
  <c r="I991" i="2"/>
  <c r="N991" i="2" l="1"/>
  <c r="N992" i="2"/>
  <c r="P24" i="2"/>
  <c r="L23" i="3"/>
  <c r="L33" i="3"/>
  <c r="P381" i="2" l="1"/>
  <c r="K20" i="3" s="1"/>
  <c r="L20" i="3" s="1"/>
  <c r="P288" i="2"/>
  <c r="K18" i="3" s="1"/>
  <c r="P988" i="2"/>
  <c r="K32" i="3" s="1"/>
  <c r="L32" i="3" s="1"/>
  <c r="K14" i="3"/>
  <c r="L15" i="3"/>
  <c r="L14" i="3" l="1"/>
  <c r="A989" i="2"/>
  <c r="A991" i="2" l="1"/>
  <c r="A992" i="2" s="1"/>
  <c r="L28" i="3"/>
  <c r="A998" i="2" l="1"/>
  <c r="A1000" i="2" s="1"/>
  <c r="L27" i="3"/>
  <c r="L21" i="3" l="1"/>
  <c r="L22" i="3"/>
  <c r="L18" i="3" l="1"/>
  <c r="L16" i="3" l="1"/>
  <c r="P1002" i="2" l="1"/>
  <c r="P1005" i="2" l="1"/>
  <c r="P1008" i="2"/>
  <c r="P1007" i="2"/>
  <c r="P1006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11" i="2"/>
  <c r="A1026" i="2" s="1"/>
  <c r="P1010" i="2" l="1"/>
  <c r="L17" i="3"/>
  <c r="M9" i="3"/>
  <c r="M37" i="3" s="1"/>
  <c r="A1013" i="2"/>
  <c r="A1014" i="2"/>
  <c r="A1015" i="2"/>
  <c r="A1012" i="2"/>
  <c r="A1016" i="2"/>
  <c r="A1017" i="2"/>
  <c r="A1018" i="2"/>
  <c r="A1019" i="2"/>
  <c r="A1020" i="2"/>
  <c r="A1021" i="2"/>
  <c r="A1022" i="2"/>
  <c r="A1027" i="2"/>
  <c r="A1023" i="2"/>
  <c r="A1024" i="2"/>
  <c r="A1028" i="2"/>
  <c r="A1025" i="2"/>
  <c r="M40" i="3" l="1"/>
  <c r="M38" i="3"/>
  <c r="M39" i="3"/>
  <c r="M41" i="3"/>
  <c r="M42" i="3" l="1"/>
</calcChain>
</file>

<file path=xl/sharedStrings.xml><?xml version="1.0" encoding="utf-8"?>
<sst xmlns="http://schemas.openxmlformats.org/spreadsheetml/2006/main" count="1924" uniqueCount="1034">
  <si>
    <t>MATERIAL TAKEOFF AND COST ESTIMATE STATEMENT</t>
  </si>
  <si>
    <t>Sr #</t>
  </si>
  <si>
    <t>REFERENCE</t>
  </si>
  <si>
    <t>DESCRIPTION</t>
  </si>
  <si>
    <t>QUANTITY</t>
  </si>
  <si>
    <t>TOTAL QTY</t>
  </si>
  <si>
    <t>UNIT</t>
  </si>
  <si>
    <t>COST/UNIT</t>
  </si>
  <si>
    <t>UNIT LABOR</t>
  </si>
  <si>
    <t>TOTAL LABOR</t>
  </si>
  <si>
    <t>TOTAL COST</t>
  </si>
  <si>
    <t>REMARKS</t>
  </si>
  <si>
    <t>TRADE COST</t>
  </si>
  <si>
    <t>LF</t>
  </si>
  <si>
    <t>EA</t>
  </si>
  <si>
    <t>SUB TOTAL</t>
  </si>
  <si>
    <t>PROFIT</t>
  </si>
  <si>
    <t>INSURANCE</t>
  </si>
  <si>
    <t>CONTINGENCY</t>
  </si>
  <si>
    <t>NET TOTAL</t>
  </si>
  <si>
    <t>WASTE</t>
  </si>
  <si>
    <t>MATERIAL TOTAL</t>
  </si>
  <si>
    <t>CY</t>
  </si>
  <si>
    <t>31. EARTHWORK</t>
  </si>
  <si>
    <t xml:space="preserve">03. CONCRETE </t>
  </si>
  <si>
    <t>SF</t>
  </si>
  <si>
    <t>OVERHEAD</t>
  </si>
  <si>
    <t>01. GENERAL CONDITIONS</t>
  </si>
  <si>
    <t>CONCRETE FOR FOUNDATION</t>
  </si>
  <si>
    <t>CONCRETE FOR SLAB</t>
  </si>
  <si>
    <t>CONCRETE FOR BEAM</t>
  </si>
  <si>
    <t>EXCAVATION</t>
  </si>
  <si>
    <t>Excavation</t>
  </si>
  <si>
    <t>Backfill</t>
  </si>
  <si>
    <t>PROJECT NAME:</t>
  </si>
  <si>
    <t>LOCATION:</t>
  </si>
  <si>
    <t>UNIT HOURS</t>
  </si>
  <si>
    <t>TOTAL MANHOURS</t>
  </si>
  <si>
    <t>INDIRECT PROJECT COSTS</t>
  </si>
  <si>
    <t>General Liability Insurance</t>
  </si>
  <si>
    <t>Mo</t>
  </si>
  <si>
    <t>General Conditions (Backoffice Overhead)</t>
  </si>
  <si>
    <t>DIRECT PROJECT COSTS</t>
  </si>
  <si>
    <t>Bonding Fee (If required)</t>
  </si>
  <si>
    <t>%</t>
  </si>
  <si>
    <t>Access Control (Pipe Scaffolding or Boom/Scissor Lifts)</t>
  </si>
  <si>
    <t>Equipment Rental</t>
  </si>
  <si>
    <t>Travel, Tools, Gas</t>
  </si>
  <si>
    <t>Field Office</t>
  </si>
  <si>
    <t>Temp. Facilities</t>
  </si>
  <si>
    <t>Temp. Signage and Protection</t>
  </si>
  <si>
    <t>Temp. Fencing</t>
  </si>
  <si>
    <t>Field Superintendent/Foreman (Full Time)</t>
  </si>
  <si>
    <t>Project Manager (Part Time)</t>
  </si>
  <si>
    <t>CONCRETE FOR WALLS</t>
  </si>
  <si>
    <t>CONCRETE FOR COLUMNS</t>
  </si>
  <si>
    <t>TOTAL AREA(SF)</t>
  </si>
  <si>
    <t>Area May Vary</t>
  </si>
  <si>
    <t>$COST/SF</t>
  </si>
  <si>
    <t>DIVISION WISE SUMMARY</t>
  </si>
  <si>
    <t>CSI DIVISIONS</t>
  </si>
  <si>
    <t>01-General Conditions</t>
  </si>
  <si>
    <t>02-Demolition Of Existing Items</t>
  </si>
  <si>
    <t>03-Concrete</t>
  </si>
  <si>
    <t>04-Masonry</t>
  </si>
  <si>
    <t>05-Metals</t>
  </si>
  <si>
    <t>06-Wood, Plastics &amp; Composites</t>
  </si>
  <si>
    <t>07-Thermal &amp; Moisture Protection</t>
  </si>
  <si>
    <t>08-Openings</t>
  </si>
  <si>
    <t>09-Finishes</t>
  </si>
  <si>
    <t>10-Specialites</t>
  </si>
  <si>
    <t>11-Equipment</t>
  </si>
  <si>
    <t>12-Furnishings</t>
  </si>
  <si>
    <t>13-Special Construction</t>
  </si>
  <si>
    <t>14-Conveying Equipment</t>
  </si>
  <si>
    <t>21-Fire Protection</t>
  </si>
  <si>
    <t>22-Plumbing</t>
  </si>
  <si>
    <t>23-Heating, Ventilations &amp; Air Conditioning (HVAC)</t>
  </si>
  <si>
    <t>26-Electrical</t>
  </si>
  <si>
    <t>27-Communications</t>
  </si>
  <si>
    <t>28-Electronic Safety &amp; security</t>
  </si>
  <si>
    <t>31-Earthwork</t>
  </si>
  <si>
    <t>32-Exterior Improvements</t>
  </si>
  <si>
    <t>33-Utilities</t>
  </si>
  <si>
    <t>NOTES FOR CLIENTS</t>
  </si>
  <si>
    <t>SUBTOTAL</t>
  </si>
  <si>
    <t>THIS EXCEL STATEMENT IS EDITABLE AND CAN BE MODIFIED AS NEEDED.</t>
  </si>
  <si>
    <t>GENERAL CONDITIONS</t>
  </si>
  <si>
    <t>CAISSON CAP</t>
  </si>
  <si>
    <t>12" Thick Concrete Wall 11'-0" High (69.88 Lf)
Reinforced With #5 Vertical Rebars @12" O.C. At Outer Face,
#8 Vertical Rebars @8" O.C. At Inner Face, #5 @ 12" O.C Horz.</t>
  </si>
  <si>
    <t>12" Thick Concrete Wall 10'-0" High (70.16 Lf)
Reinforced With #5 Vertical Rebars @12" O.C. At Outer Face,
#8 Vertical Rebars @8" O.C. At Inner Face, #5 @ 12" O.C Horz.</t>
  </si>
  <si>
    <t>12" Thick Concrete Wall 9'-2" High (15.13 Lf)
Reinforced With #5 Vertical Rebars @12" O.C. At Outer Face,
#8 Vertical Rebars @8" O.C. At Inner Face, #5 @ 12" O.C Horz.</t>
  </si>
  <si>
    <t>12" Thick Concrete Wall 12'-2" High (82.83 Lf)
Reinforced With #5 Vertical Rebars @12" O.C. At Outer Face,
#8 Vertical Rebars @8" O.C. At Inner Face, #5 @ 12" O.C Horz.</t>
  </si>
  <si>
    <t>8" Thick Concrete Wall 9'-0" High (10.25 Lf)
Reinforced With #5  Rebars @ 12" O.C. Vertical And Horizointal</t>
  </si>
  <si>
    <t>9" Thick Concrete Wall 3'-0" High (40.26 Lf)
Reinforced With #5  Rebars @ 12" O.C. Vertical And Horizointal</t>
  </si>
  <si>
    <t>10" Thick Concrete Wall 9'-0" High (17.02 Lf)
Reinforced With #5  Rebars @ 12" O.C. Vertical And Horizointal</t>
  </si>
  <si>
    <t>12" Thick Concrete Wall 9'-0" High (38.59 Lf)
Reinforced With #5  Rebars @ 12" O.C. Vertical And Horizointal</t>
  </si>
  <si>
    <t>Tag: Cc-1A, 3'-0" X 3'-0" X 3'-6" Caisson Cap (6 Ea)
Reinforced With (3) #8 Each Way At Bottom</t>
  </si>
  <si>
    <t>Tag: Cc-1B, 3'-0" X 3'-6" X 11'-8" Caisson Cap (4 Ea)
Reinforced With (16) #10 Vertical Rebars Each Way</t>
  </si>
  <si>
    <t>Tag: Cc-1B, 3'-0" X 3'-6" X 10'-6" Caisson Cap  (2 Ea)
Reinforced With (16) #10 Vertical Rebars Each Way</t>
  </si>
  <si>
    <t>Tag: Cc-1B, 3'-0" X 3'-6" X 10'-8" Caisson Cap (1 Ea)
Reinforced With (16) #10 Vertical Rebars Each Way</t>
  </si>
  <si>
    <t>Tag: Cc-2, 3'-0" X 11'-0" X 4'-0" Caisson Cap (1 Ea)</t>
  </si>
  <si>
    <t>12'-7" X 3'-0" X 4'-8" Caisson Cap (1 Ea)
Reinforced With 10#10 Bottom And 4#8 Horizontal
#6@12" O.C. Vertical E.F And #7@9" O.C. Horiz. E.F</t>
  </si>
  <si>
    <t>12'-7" X 3'-0" X 5'-8" Caisson Cap (1 Ea)
Reinforced With 10#10 Bottom And 4#8 Horizontal
#6@12" O.C. Vertical E.F And #7@9" O.C. Horiz. E.F</t>
  </si>
  <si>
    <t>23'-0" X 3'-0" X 5'-8" Caisson Cap (1 Ea)
Reinforced With 7#10 Bottom And 4#8 Horizontal
#6@12" O.C. Vertical E.F And #7@9" O.C. Horiz. E.F</t>
  </si>
  <si>
    <t>23'-0" X 3'-0" X 5'-8" Caisson Cap (1 Ea)
Reinforced With 2 Layers 7#10 Bottom And 4#8 Horizontal
#6@12" O.C. Vertical E.F And #7@9" O.C. Horiz. E.F</t>
  </si>
  <si>
    <t>Tag: C1, 18"X16" Concrete Column (93.58 Lf)
Reinforced With 8 #8 Vertical Rebar'S &amp; #4 @ 8" O.C. Ties, #4 @ 16" O.C. Ties @ Bottom Of Column</t>
  </si>
  <si>
    <t>Tag: C1, 18"X16" Concrete Column (55.33 Lf)
Reinforced With 6 #7 Vertical Rebar'S &amp; #4 @ 6" O.C. Ties, #4 @ 12" O.C. Ties @ Bottom Of Column</t>
  </si>
  <si>
    <t>Tag: C2, 18"X16" Concrete Column (62.58 Lf)
Reinforced With 4 #8 Vertical Rebar'S &amp; #4 @ 8" O.C. Ties, #4 @ 16" O.C. Ties @ Bottom Of Column</t>
  </si>
  <si>
    <t>Tag: C2, 18"X16" Concrete Column (41.83 Lf)
Reinforced With 6 #8 Vertical Rebar'S &amp; #4 @ 8" O.C. Ties, #4 @ 16" O.C. Ties @ Bottom Of Column</t>
  </si>
  <si>
    <t>Tag: C2, 18"X16" Concrete Column (44.5 Lf)
Reinforced With 8 #8 Vertical Rebar'S &amp; #4 @ 8" O.C. Ties, #4 @ 16" O.C. Ties @ Bottom Of Column</t>
  </si>
  <si>
    <t>Tag: C3, 18"X16" Concrete Column (104.41 Lf)
Reinforced With 4 #8 Vertical Rebar'S &amp; #4 @ 8" O.C. Ties, #4 @ 16" O.C. Ties @ Bottom Of Column</t>
  </si>
  <si>
    <t>Tag: C3, 18"X16" Concrete Column (67 Lf)
Reinforced With 6 #8 Vertical Rebar'S &amp; #4 @ 8" O.C. Ties, #4 @ 16" O.C. Ties @ Bottom Of Column</t>
  </si>
  <si>
    <t>Tag: C4, 18"X16" Concrete Column ( Lf)
Reinforced With 6 #8 Vertical Rebar'S &amp; #4 @ 8" O.C. Ties, #4 @ 16" O.C. Ties @ Bottom Of Column</t>
  </si>
  <si>
    <t>Tag: C4, 18"X16" Concrete Column ( Lf)
Reinforced With 4 #8 Vertical Rebar'S &amp; #4 @ 8" O.C. Ties, #4 @ 16" O.C. Ties @ Bottom Of Column</t>
  </si>
  <si>
    <t>Tag: C5, 10"X48" Concrete Column ( Lf)
Reinforced With 16 #8 Vertical Rebar'S &amp; #4 @ 8" O.C. Ties, #4 @ 16" O.C. Ties @ Bottom Of Column</t>
  </si>
  <si>
    <t>Tag: C5, 10"X40" Concrete Column ( Lf)
Reinforced With 12 #8 Vertical Rebar'S &amp; #4 @ 8" O.C. Ties, #4 @ 16" O.C. Ties @ Bottom Of Column</t>
  </si>
  <si>
    <t>Tag: C5, 10"X32" Concrete Column ( Lf)
Reinforced With 10 #8 Vertical Rebar'S &amp; #4 @ 8" O.C. Ties, #4 @ 16" O.C. Ties @ Bottom Of Column</t>
  </si>
  <si>
    <t>Tag: C5, 10"X24" Concrete Column ( Lf)
Reinforced With 8 #8 Vertical Rebar'S &amp; #4 @ 8" O.C. Ties, #4 @ 16" O.C. Ties @ Bottom Of Column</t>
  </si>
  <si>
    <t>Tag: C5, 10"X24" Concrete Column ( Lf)
Reinforced With 4 #7 Vertical Rebar'S &amp; #4 @ 7" O.C. Ties, #4 @ 14" O.C. Ties @ Bottom Of Column</t>
  </si>
  <si>
    <t>Tag: C6, 12"X30" Concrete Column ( Lf)
Reinforced With 12 #8 Vertical Rebar'S &amp; #4 @ 8" O.C. Ties, #4 @ 16" O.C. Ties @ Bottom Of Column</t>
  </si>
  <si>
    <t>Tag: C6, 12"X33" Concrete Column ( Lf)
Reinforced With 10 #8 Vertical Rebar'S &amp; #4 @ 8" O.C. Ties, #4 @ 16" O.C. Ties @ Bottom Of Column</t>
  </si>
  <si>
    <t>Tag: C6, 12"X24" Concrete Column ( Lf)
Reinforced With 8 #8 Vertical Rebar'S &amp; #4 @ 8" O.C. Ties, #4 @ 16" O.C. Ties @ Bottom Of Column</t>
  </si>
  <si>
    <t>Tag: C6, 12"X24" Concrete Column ( Lf)
Reinforced With 6 #8 Vertical Rebar'S &amp; #4 @ 8" O.C. Ties, #4 @ 16" O.C. Ties @ Bottom Of Column</t>
  </si>
  <si>
    <t>Tag: C6, 12"X24" Concrete Column ( Lf)
Reinforced With 4 #8 Vertical Rebar'S &amp; #4 @ 8" O.C. Ties, #4 @ 16" O.C. Ties @ Bottom Of Column</t>
  </si>
  <si>
    <t>Tag: C7, 12"X48" Concrete Column ( Lf)
Reinforced With 16 #8 Vertical Rebar'S &amp; #4 @ 8" O.C. Ties, #4 @ 16" O.C. Ties @ Bottom Of Column</t>
  </si>
  <si>
    <t>Tag: C7, 10"X40" Concrete Column ( Lf)
Reinforced With 12 #8 Vertical Rebar'S &amp; #4 @ 8" O.C. Ties, #4 @ 16" O.C. Ties @ Bottom Of Column</t>
  </si>
  <si>
    <t>Tag: C7, 10"X32" Concrete Column ( Lf)
Reinforced With 10 #8 Vertical Rebar'S &amp; #4 @ 8" O.C. Ties, #4 @ 16" O.C. Ties @ Bottom Of Column</t>
  </si>
  <si>
    <t>Tag: C7, 10"X24" Concrete Column ( Lf)
Reinforced With 8 #8 Vertical Rebar'S &amp; #4 @ 8" O.C. Ties, #4 @ 16" O.C. Ties @ Bottom Of Column</t>
  </si>
  <si>
    <t>Tag: C7, 10"X24" Concrete Column ( Lf)
Reinforced With 4 #7 Vertical Rebar'S &amp; #4 @ 7" O.C. Ties, #4 @ 14" O.C. Ties @ Bottom Of Column</t>
  </si>
  <si>
    <t>Tag: C8, 18"X16" Concrete Column ( Lf)
Reinforced With 6 #8 Vertical Rebar'S &amp; #4 @ 8" O.C. Ties, #4 @ 16" O.C. Ties @ Bottom Of Column</t>
  </si>
  <si>
    <t>Tag: C8, 18"X16" Concrete Column ( Lf)
Reinforced With 4 #8 Vertical Rebar'S &amp; #4 @ 8" O.C. Ties, #4 @ 16" O.C. Ties @ Bottom Of Column</t>
  </si>
  <si>
    <t>Tag: C9, 18"X16" Concrete Column ( Lf)
Reinforced With 10 #8 Vertical Rebar'S &amp; #4 @ 8" O.C. Ties, #4 @ 16" O.C. Ties @ Bottom Of Column</t>
  </si>
  <si>
    <t>Tag: C9, 18"X16" Concrete Column ( Lf)
Reinforced With 8 #8 Vertical Rebar'S &amp; #4 @ 8" O.C. Ties, #4 @ 16" O.C. Ties @ Bottom Of Column</t>
  </si>
  <si>
    <t>Tag: C9, 18"X16" Concrete Column ( Lf)
Reinforced With 4 #8 Vertical Rebar'S &amp; #4 @ 8" O.C. Ties, #4 @ 16" O.C. Ties @ Bottom Of Column</t>
  </si>
  <si>
    <t>Tag: C9, 18"X16" Concrete Column ( Lf)
Reinforced With 6 #8 Vertical Rebar'S &amp; #4 @ 8" O.C. Ties, #4 @ 16" O.C. Ties @ Bottom Of Column</t>
  </si>
  <si>
    <t>Tag: C10, 18"X16" Concrete Column ( Lf)
Reinforced With 10 #8 Vertical Rebar'S &amp; #4 @ 8" O.C. Ties, #4 @ 16" O.C. Ties @ Bottom Of Column</t>
  </si>
  <si>
    <t>Tag: C10, 18"X16" Concrete Column ( Lf)
Reinforced With 6 #8 Vertical Rebar'S &amp; #4 @ 8" O.C. Ties, #4 @ 16" O.C. Ties @ Bottom Of Column</t>
  </si>
  <si>
    <t>Tag: C10, 18"X16" Concrete Column ( Lf)
Reinforced With 4 #8 Vertical Rebar'S &amp; #4 @ 8" O.C. Ties, #4 @ 16" O.C. Ties @ Bottom Of Column</t>
  </si>
  <si>
    <t>Tag: C11, 18"X16" Concrete Column ( Lf)
Reinforced With 8 #8 Vertical Rebar'S &amp; #4 @ 8" O.C. Ties, #4 @ 16" O.C. Ties @ Bottom Of Column</t>
  </si>
  <si>
    <t>Tag: C11, 18"X16" Concrete Column ( Lf)
Reinforced With 6 #8 Vertical Rebar'S &amp; #4 @ 8" O.C. Ties, #4 @ 16" O.C. Ties @ Bottom Of Column</t>
  </si>
  <si>
    <t>Tag: C11, 18"X16" Concrete Column ( Lf)
Reinforced With 4 #8 Vertical Rebar'S &amp; #4 @ 8" O.C. Ties, #4 @ 16" O.C. Ties @ Bottom Of Column</t>
  </si>
  <si>
    <t>Tag: C12, 18"X16" Concrete Column ( Lf)
Reinforced With 4 #8 Vertical Rebar'S &amp; #4 @ 8" O.C. Ties, #4 @ 16" O.C. Ties @ Bottom Of Column</t>
  </si>
  <si>
    <t>Tag: C13, 18"X16" Concrete Column ( Lf)
Reinforced With 4 #8 Vertical Rebar'S &amp; #4 @ 8" O.C. Ties, #4 @ 16" O.C. Ties @ Bottom Of Column</t>
  </si>
  <si>
    <t>Tag: C14, 18"X12" Concrete Column ( Lf)
Reinforced With 4 #7 Vertical Rebar'S &amp; #4 @ 7" O.C. Ties, #4 @ 14" O.C. Ties @ Bottom Of Column</t>
  </si>
  <si>
    <t>Tag: C15, 12"X12" Concrete Column ( Lf)
Reinforced With 4 #6 Vertical Rebar'S &amp; #4 @ 6" O.C. Ties, #4 @ 12" O.C. Ties @ Bottom Of Column</t>
  </si>
  <si>
    <t>Tag: C16, 12"X12" Concrete Column ( Lf)
Reinforced With 4 #6 Vertical Rebar'S &amp; #4 @ 6" O.C. Ties, #4 @ 12" O.C. Ties @ Bottom Of Column</t>
  </si>
  <si>
    <t>Tag: C17, 12"X12" Concrete Column ( Lf)
Reinforced With 4 #6 Vertical Rebar'S &amp; #4 @ 6" O.C. Ties, #4 @ 12" O.C. Ties @ Bottom Of Column</t>
  </si>
  <si>
    <t>Tag: C18, 12"X12" Concrete Column ( Lf)
Reinforced With 4 #6 Vertical Rebar'S &amp; #4 @ 6" O.C. Ties, #4 @ 12" O.C. Ties @ Bottom Of Column</t>
  </si>
  <si>
    <t>16" Thick Concrete Slab (298.2 Sf)
Reinforced With #5@12" O.C. Top And Bottom Each Way</t>
  </si>
  <si>
    <t>6" Thick Aggregate Gravels</t>
  </si>
  <si>
    <t>Vapor Barrier</t>
  </si>
  <si>
    <t>12" Thick Concrete Slab (3561.5 Sf)
Reinforced With #5@12" O.C. Top And Bottom Each Way</t>
  </si>
  <si>
    <t>F0101, F0001</t>
  </si>
  <si>
    <t>S301</t>
  </si>
  <si>
    <t>1B-02:1'-4''x1'-8'' Concrete Beam</t>
  </si>
  <si>
    <t>1B-01A:9''x3'-8'' Concrete Beam</t>
  </si>
  <si>
    <t>1B-01B:9''x3'-8'' Concrete Beam</t>
  </si>
  <si>
    <t>TB-01:1'-4''x1'-6'' concrete Beam</t>
  </si>
  <si>
    <t>TB-02:1'-0''x2'-0'' Concrete Beam</t>
  </si>
  <si>
    <t>TB-03:8''x2'-6'' Concrete Beam</t>
  </si>
  <si>
    <t>RB-01:1'-0''x1'-6'' Concrete Beam</t>
  </si>
  <si>
    <t>BHB-01:10''x1'-6'' Concrete Beam</t>
  </si>
  <si>
    <t>BHB-02:1'-0''x1'-6'' Concrete Beam</t>
  </si>
  <si>
    <t>BHB-03:1'-0''x1'-6'' Concrete Beam</t>
  </si>
  <si>
    <t>BHB-04:1'-0''x1'-6'' Concrete Beam</t>
  </si>
  <si>
    <t>BHB-05:1'-0''x1'-6'' Concrete Beam</t>
  </si>
  <si>
    <t>BHB-06:1'-0''x1'-6'' Concrete Beam</t>
  </si>
  <si>
    <t>1'-0'' Thick Concrete Slab(337.2Sf) Reinforced w/ #5 @ 14'' Rebars</t>
  </si>
  <si>
    <t>10'' Thick Concrete Slab(871.5Sf) Reinforced w/ #5 @ 14'' Rebars</t>
  </si>
  <si>
    <t>05. METALS</t>
  </si>
  <si>
    <t>S-1.5</t>
  </si>
  <si>
    <t>STEEL BEAMS</t>
  </si>
  <si>
    <t>STEEL COLUMNS</t>
  </si>
  <si>
    <t>S2x23 Steel Beam</t>
  </si>
  <si>
    <t>HSS8x3x3/8 Steel Beam</t>
  </si>
  <si>
    <t>S8x23 Steel Beam</t>
  </si>
  <si>
    <t>W8 Steel Beam</t>
  </si>
  <si>
    <t>W12 Steel Beam</t>
  </si>
  <si>
    <t>HSS</t>
  </si>
  <si>
    <t>2'' Steel Grating</t>
  </si>
  <si>
    <t>WXxX Steel Post(18'-2'' High)</t>
  </si>
  <si>
    <t>HSSXxX Steel Column(18'-2'' High)</t>
  </si>
  <si>
    <t>CONCRETE FOR STAIRS</t>
  </si>
  <si>
    <t>Concrete For Stairs(3'-8'' Wide) Reinforced w/ #4@12'' o.c. &amp; 1#4 Rebars At Each Nose</t>
  </si>
  <si>
    <t>No of Steps</t>
  </si>
  <si>
    <t>No Of Steps</t>
  </si>
  <si>
    <t>SW1:10'' Thick Concrete Wall(10'-3'' High) 
Reinforced w/ #5@12'' o.c. Horiz. &amp; #5@12'' o.c Vert. Rebars</t>
  </si>
  <si>
    <t>SW2:1'-0'' Thick Concrete Wall(10'-3'' High) 
Reinforced w/ #5@12'' o.c. Horizontal Rebars</t>
  </si>
  <si>
    <t>SW-3:1'-0'' Thick Concrete Wall(10'-3'' High) 
Reinforced w/ #5@12'' o.c. Horizontal Rebars</t>
  </si>
  <si>
    <t>SW1:10'' Thick Concrete Wall(9'-8'' High) 
Reinforced w/ #5@12'' o.c. Horiz. &amp; #5@12'' o.c Vert. Rebars</t>
  </si>
  <si>
    <t>TB-01A:1'-4''x18/30'' Concrete Beam</t>
  </si>
  <si>
    <t>8" Thick Concrete Slab (41524.71 Sf)
Reinforced With #5@12" O.C. Top And Bottom Each Way</t>
  </si>
  <si>
    <t>8'' Thick Concrete Knee Wall(2'-5'' High) 
Reinforced w/ #4@ 8''@ o.c. Rebars</t>
  </si>
  <si>
    <t>SW3:1'-0'' Thick Concrete Wall(10'-6'' High) 
Reinforced w/ #5@12'' o.c. Horiz. &amp; #5@12'' o.c Vert. Rebars</t>
  </si>
  <si>
    <t>C8x11.5 Steel Beam</t>
  </si>
  <si>
    <t>Concrete For Stairs(2'-10'' Wide)  Reinforced w/ #5@ 12'' o.c. &amp; 1#4 Rebars At Each Nose</t>
  </si>
  <si>
    <t>Concrete For Stairs(11'-10'' Wide)  Reinforced w/ #4@12'' Horizontal Rebars</t>
  </si>
  <si>
    <t>FO101/S102/S103/104/105/106/107/108</t>
  </si>
  <si>
    <t>S102/S103/104/105/106/107/108</t>
  </si>
  <si>
    <t>A100/101/1021/S008/S004</t>
  </si>
  <si>
    <t>SW2:1'-0'' Thick Concrete Wall(9'-8'' High)
Reinforced w/ #5@12'' o.c. Horiz. &amp; #5@12'' o.c Vert. Rebars</t>
  </si>
  <si>
    <t>SW3:1'-0'' Thick Concrete Wall(9'-8'' High) 
Reinforced w/ #5@12'' o.c. Horiz. &amp; #5@12'' o.c Vert. Rebars</t>
  </si>
  <si>
    <t>SW1:10'' Thick Concrete Wall(9'-8'' High)
Reinforced w/ #5@12'' o.c. Horiz. &amp; #5@12'' o.c Vert. Rebars</t>
  </si>
  <si>
    <t>SW2:1'-0'' Thick Concrete Wall(9'-8'' High) 
Reinforced w/ #5@12'' o.c. Horiz. &amp; #5@12'' o.c Vert. Rebars</t>
  </si>
  <si>
    <t>SW3:1'-0'' Thick Concrete Wall(9'-8'' High)
Reinforced w/ #5@12'' o.c. Horiz. &amp; #5@12'' o.c Vert. Rebars</t>
  </si>
  <si>
    <t>SW1:10'' Thick Concrete Wall(10'-2'' High)
Reinforced w/ #5@12'' o.c. Horiz. &amp; #5@12'' o.c Vert. Rebars</t>
  </si>
  <si>
    <t>SW2:1'-0'' Thick Concrete Wall(10'-2'' High)
Reinforced w/ #5@12'' o.c. Horiz. &amp; #5@12'' o.c Vert. Rebars</t>
  </si>
  <si>
    <t>SW3:1'-0'' Thick Concrete Wall(10'-2'' High)
Reinforced w/ #5@12'' o.c. Horiz. &amp; #5@12'' o.c Vert. Rebars</t>
  </si>
  <si>
    <t>SW1:10'' Thick Concrete Wall(11'-3'' High)
Reinforced w/ #5@12'' o.c. Horiz. &amp; #5@12'' o.c Vert. Rebars</t>
  </si>
  <si>
    <t>SW2:1'-0'' Thick Concrete Wall(11'-3'' High)
Reinforced w/ #5@12'' o.c. Horiz. &amp; #5@12'' o.c Vert. Rebars</t>
  </si>
  <si>
    <t>SW3:1'-0'' Thick Concrete Wall(11'-3'' High)
Reinforced w/ #5@12'' o.c. Horiz. &amp; #5@12'' o.c Vert. Rebars</t>
  </si>
  <si>
    <t>SW1:10'' Thick Concrete Wall(11'-4'' High)
Reinforced w/ #5@12'' o.c. Horiz. &amp; #5@12'' o.c Vert. Rebars</t>
  </si>
  <si>
    <t>SW2:1'-0'' Thick Concrete Wall(11'-4'' High)
Reinforced w/ #5@12'' o.c. Horiz. &amp; #5@12'' o.c Vert. Rebars</t>
  </si>
  <si>
    <t>SW3:1'-0'' Thick Concrete Wall(11'-4'' High)
Reinforced w/ #5@12'' o.c. Horiz. &amp; #5@12'' o.c Vert. Rebars</t>
  </si>
  <si>
    <t>SW1:10'' Thick Concrete Wall(9'-10'' High)
Reinforced w/ #5@12'' o.c. Horiz. &amp; #5@12'' o.c Vert. Rebars</t>
  </si>
  <si>
    <t>SW2:1'-0'' Thick Concrete Wall(9'-10'' High)
Reinforced w/ #5@12'' o.c. Horiz. &amp; #5@12'' o.c Vert. Rebars</t>
  </si>
  <si>
    <t>SW3:1'-0'' Thick Concrete Wall(9'-10'' High)
Reinforced w/ #5@12'' o.c. Horiz. &amp; #5@12'' o.c Vert. Rebars</t>
  </si>
  <si>
    <t>SW1:10'' Thick Concrete Wall(11'-10'' High)
Reinforced w/ #5@12'' o.c. Horiz. &amp; #5@12'' o.c Vert.</t>
  </si>
  <si>
    <t>SW2:1'-0'' Thick Concrete Wall(11'-10'' High) 
Reinforced w/ #5@12'' o.c. Horiz. &amp; #5@12'' o.c Vert. Rebars</t>
  </si>
  <si>
    <t>SW3:1'-0'' Thick Concrete Wall(11'-10'' High)
Reinforced w/ #5@12'' o.c. Horiz. &amp; #5@12'' o.c Vert. Rebars</t>
  </si>
  <si>
    <t>SW1:10'' Thick Concrete Wall(18'-2'' High)
Reinforced w/ #5@12'' o.c. Horiz. &amp; #5@12'' o.c Vert. Rebars</t>
  </si>
  <si>
    <t>SW2:1'-0'' Thick Concrete Wall(10'-6'' High)
Reinforced w/ #5@12'' o.c. Horiz. &amp; #5@12'' o.c Vert. Rebars</t>
  </si>
  <si>
    <t>8'' Thick Concrete Knee Wall(2'-5'' High)
Reinforced w/ #4@ 8''@ o.c. Rebars</t>
  </si>
  <si>
    <t>04. MASONRY</t>
  </si>
  <si>
    <t>MASONRY WALLS</t>
  </si>
  <si>
    <t>8'' Thick CMU Wall (9'-0'' High) w/ 
#4 Vertical Rebar's @ 48'' oc In Filled Cells</t>
  </si>
  <si>
    <t>8'' Thick CMU Wall (9'-8'' High) w/ 
#4 Vertical Rebar's @ 48'' oc In Filled Cells</t>
  </si>
  <si>
    <t>8'' Thick CMU Wall (9'-10'' High) w/ 
#4 Vertical Rebar's @ 48'' oc In Filled Cells</t>
  </si>
  <si>
    <t>8'' Thick CMU Wall (10'-2'' High) w/ 
#4 Vertical Rebar's @ 48'' oc In Filled Cells</t>
  </si>
  <si>
    <t>8'' Thick CMU Wall (11'-4'' High) w/ 
#4 Vertical Rebar's @ 48'' oc In Filled Cells</t>
  </si>
  <si>
    <t>8'' Thick CMU Wall (11'-10'' High) w/ 
#4 Vertical Rebar's @ 48'' oc In Filled Cells</t>
  </si>
  <si>
    <t>8''x8'' Bond Beam w/
(2) #4 Continuous Rebar's</t>
  </si>
  <si>
    <t>No Of Blocks (8''x8''x16'')</t>
  </si>
  <si>
    <t>Grout</t>
  </si>
  <si>
    <t>A100-A107</t>
  </si>
  <si>
    <t>METAL FRAMING</t>
  </si>
  <si>
    <t>3-5/8" 25GA. Metal C-Studs @ 16"O.C. (Wall Height=9'-0")</t>
  </si>
  <si>
    <t>3-5/8" 25GA. Metal C-Studs @ 16"O.C. (Wall Height=9'-8")</t>
  </si>
  <si>
    <t>3-5/8" 25GA. Metal C-Studs @ 16"O.C. (Wall Height=9'-10")</t>
  </si>
  <si>
    <t>3-5/8" 25GA. Metal C-Studs @ 16"O.C. (Wall Height=10'-0")</t>
  </si>
  <si>
    <t>3-5/8" 25GA. Metal C-Studs @ 16"O.C. (Wall Height=10'-2")</t>
  </si>
  <si>
    <t>3-5/8" 25GA. Metal C-Studs @ 16"O.C. (Wall Height=10'-3")</t>
  </si>
  <si>
    <t>3-5/8" 25GA. Metal C-Studs @ 16"O.C. (Wall Height=11'-4")</t>
  </si>
  <si>
    <t>3-5/8" 25GA. Metal C-Studs @ 16"O.C. (Wall Height=11'-10")</t>
  </si>
  <si>
    <t>2-1/2" 25GA. Metal C-Studs @ 16"O.C. (Wall Height=8'-2")</t>
  </si>
  <si>
    <t>2-1/2" 25GA. Metal C-Studs @ 16"O.C. (Wall Height=9'-0")</t>
  </si>
  <si>
    <t>2-1/2" 25GA. Metal C-Studs @ 16"O.C. (Wall Height=9'-8")</t>
  </si>
  <si>
    <t>2-1/2" 25GA. Metal C-Studs @ 16"O.C. (Wall Height=9'-10")</t>
  </si>
  <si>
    <t>2-1/2" 25GA. Metal C-Studs @ 16"O.C. (Wall Height=10'-0")</t>
  </si>
  <si>
    <t>2-1/2" 25GA. Metal C-Studs @ 16"O.C. (Wall Height=10'-2")</t>
  </si>
  <si>
    <t>2-1/2" 25GA. Metal C-Studs @ 16"O.C. (Wall Height=10'-3")</t>
  </si>
  <si>
    <t>2-1/2" 25GA. Metal C-Studs @ 16"O.C. (Wall Height=11'-2")</t>
  </si>
  <si>
    <t>2-1/2" 25GA. Metal C-Studs @ 16"O.C. (Wall Height=11'-4")</t>
  </si>
  <si>
    <t>2-1/2" 25GA. Metal C-Studs @ 16"O.C. (Wall Height=11'-10")</t>
  </si>
  <si>
    <t>2-1/2" 20GA. Metal CT-Studs @ 16"O.C. (Wall Height=9'-8")</t>
  </si>
  <si>
    <t>2-1/2" 20GA. Metal CT-Studs @ 16"O.C. (Wall Height=9'-10")</t>
  </si>
  <si>
    <t>2-1/2" 20GA. Metal CT-Studs @ 16"O.C. (Wall Height=10'-2")</t>
  </si>
  <si>
    <t>2-1/2" 20GA. Metal CT-Studs @ 16"O.C. (Wall Height=10'-3")</t>
  </si>
  <si>
    <t>2-1/2" 20GA. Metal CT-Studs @ 16"O.C. (Wall Height=11'-4")</t>
  </si>
  <si>
    <t>2-1/2" 20GA. Metal CT-Studs @ 16"O.C. (Wall Height=11'-10")</t>
  </si>
  <si>
    <t>1-5/8" 25GA. Metal C-Studs @ 16"O.C. (Wall Height=8'-2")</t>
  </si>
  <si>
    <t>1-5/8" 25GA. Metal C-Studs @ 16"O.C. (Wall Height=9'-8")</t>
  </si>
  <si>
    <t>1-5/8" 25GA. Metal C-Studs @ 16"O.C. (Wall Height=9'-10")</t>
  </si>
  <si>
    <t>1-5/8" 25GA. Metal C-Studs @ 16"O.C. (Wall Height=10'-2")</t>
  </si>
  <si>
    <t>1-5/8" 25GA. Metal C-Studs @ 16"O.C. (Wall Height=10'-3")</t>
  </si>
  <si>
    <t>1-5/8" 25GA. Metal C-Studs @ 16"O.C. (Wall Height=11'-4")</t>
  </si>
  <si>
    <t>1-5/8" 25GA. Metal C-Studs @ 16"O.C. (Wall Height=11'-10")</t>
  </si>
  <si>
    <t>1-5/8" 16GA. Metal C-Studs @ 16"O.C. (Wall Height=9'-8")</t>
  </si>
  <si>
    <t>1-5/8" 16GA. Metal C-Studs @ 16"O.C. (Wall Height=9'-10")</t>
  </si>
  <si>
    <t>1-5/8" 16GA. Metal C-Studs @ 16"O.C. (Wall Height=10'-2")</t>
  </si>
  <si>
    <t>1-5/8" 16GA. Metal C-Studs @ 16"O.C. (Wall Height=11'-4")</t>
  </si>
  <si>
    <t>5-1/2" 25GA. Metal C-Studs @ 16"O.C. (Wall Height=9'-8")</t>
  </si>
  <si>
    <t>5-1/2" 25GA. Metal C-Studs @ 16"O.C. (Wall Height=9'-10")</t>
  </si>
  <si>
    <t>5-1/2" 25GA. Metal C-Studs @ 16"O.C. (Wall Height=10'-2")</t>
  </si>
  <si>
    <t>5-1/2" 25GA. Metal C-Studs @ 16"O.C. (Wall Height=11'-4")</t>
  </si>
  <si>
    <t>6" 25GA. Metal C-Studs @ 16"O.C. (Wall Height=9'-8")</t>
  </si>
  <si>
    <t>6" 25GA. Metal C-Studs @ 16"O.C. (Wall Height=9'-10")</t>
  </si>
  <si>
    <t>6" 25GA. Metal C-Studs @ 16"O.C. (Wall Height=10'-2")</t>
  </si>
  <si>
    <t>6" 25GA. Metal C-Studs @ 16"O.C. (Wall Height=10'-3")</t>
  </si>
  <si>
    <t>6" 25GA. Metal C-Studs @ 16"O.C. (Wall Height=11'-4")</t>
  </si>
  <si>
    <t>6" 25GA. Metal C-Studs @ 16"O.C. (Wall Height=11'-10")</t>
  </si>
  <si>
    <t>7/8" 25GA. Steel Hat Channel @ 16"O.C. (Wall Height=9'-8")</t>
  </si>
  <si>
    <t>7/8" 25GA. Steel Hat Channel @ 16"O.C. (Wall Height=9'-10")</t>
  </si>
  <si>
    <t>7/8" 25GA. Steel Hat Channel @ 16"O.C. (Wall Height=10'-2")</t>
  </si>
  <si>
    <t>7/8" 25GA. Steel Hat Channel @ 16"O.C. (Wall Height=10'-3")</t>
  </si>
  <si>
    <t>7/8" 25GA. Steel Hat Channel @ 16"O.C. (Wall Height=11'-4")</t>
  </si>
  <si>
    <t>7/8" 25GA. Steel Hat Channel @ 16"O.C. (Wall Height=11'-10")</t>
  </si>
  <si>
    <t>7/8" 25GA. Metal C-Studs @ 16"O.C. (Wall Height=9'-8")</t>
  </si>
  <si>
    <t>7/8" 25GA. Metal C-Studs @ 16"O.C. (Wall Height=9'-10")</t>
  </si>
  <si>
    <t>7/8" 25GA. Metal C-Studs @ 16"O.C. (Wall Height=10'-2")</t>
  </si>
  <si>
    <t>7/8" 25GA. Metal C-Studs @ 16"O.C. (Wall Height=10'-3")</t>
  </si>
  <si>
    <t>7/8" 25GA. Metal C-Studs @ 16"O.C. (Wall Height=11'-4")</t>
  </si>
  <si>
    <t>7/8" 25GA. Metal C-Studs @ 16"O.C. (Wall Height=11'-10")</t>
  </si>
  <si>
    <t>3-5/8" 25GA. Metal Stud Bottom Runner</t>
  </si>
  <si>
    <t>3-5/8" 25GA. Metal Stud Slotted Top Track</t>
  </si>
  <si>
    <t>2-1/2" 25GA. Metal Stud Bottom Runner</t>
  </si>
  <si>
    <t>2-1/2" 25GA. Metal Stud Slotted Top Track</t>
  </si>
  <si>
    <t>2-1/2" 20GA. Metal Stud Bottom Runner</t>
  </si>
  <si>
    <t>2-1/2" 20GA. Metal Stud Slotted Top Track</t>
  </si>
  <si>
    <t>1-5/8" 25GA. Metal Stud Bottom Runner</t>
  </si>
  <si>
    <t>1-5/8" 25GA. Metal Stud Slotted Top Track</t>
  </si>
  <si>
    <t>1-5/8" 16GA. Metal Stud Bottom Runner</t>
  </si>
  <si>
    <t>1-5/8" 16GA. Metal Stud Slotted Top Track</t>
  </si>
  <si>
    <t>5-1/2" 25GA. Metal Stud Bottom Runner</t>
  </si>
  <si>
    <t>5-1/2" 25GA. Metal Stud Slotted Top Track</t>
  </si>
  <si>
    <t>6" 25GA. Metal Stud Bottom Runner</t>
  </si>
  <si>
    <t>6" 25GA. Metal Stud Slotted Top Track</t>
  </si>
  <si>
    <t>7/8" 25GA. Metal Stud Bottom Runner</t>
  </si>
  <si>
    <t>7/8" 25GA. Metal Stud Slotted Top Track</t>
  </si>
  <si>
    <t>07. THERMAL &amp; MOISTURE PROTECTION</t>
  </si>
  <si>
    <t>ROOFING</t>
  </si>
  <si>
    <t>TPO Flat Roofing System</t>
  </si>
  <si>
    <t>1/2" Cover Board</t>
  </si>
  <si>
    <t>Rigid Insulation</t>
  </si>
  <si>
    <t>THERMAL &amp; WEATHER PROOFING</t>
  </si>
  <si>
    <t>6" Foil Faced Batt Insulation@Exterior Walls</t>
  </si>
  <si>
    <t>Sound Attenuated Insulation@Interior Walls</t>
  </si>
  <si>
    <t>A108</t>
  </si>
  <si>
    <t>6" Mineral Wool Insulation@Exterior Walls</t>
  </si>
  <si>
    <t>A100-A107,A200</t>
  </si>
  <si>
    <t>ROOF DRAINAGE</t>
  </si>
  <si>
    <t>Roof Drain</t>
  </si>
  <si>
    <t>EXTERIOR METAL FINISHES</t>
  </si>
  <si>
    <t>Metal Corrugate Panel Screening</t>
  </si>
  <si>
    <t>Acoustic Louver Wall</t>
  </si>
  <si>
    <t>Ribbed Metal Panel</t>
  </si>
  <si>
    <t>Bent/Brake Formed Metal Closure Panel, Bronze Finish</t>
  </si>
  <si>
    <t>A200,A201</t>
  </si>
  <si>
    <t>09. FINISHES</t>
  </si>
  <si>
    <t>DRYWALL</t>
  </si>
  <si>
    <t>(2) Layers Of 5/8'' Type X Gypsum Wall Board At Both Sides</t>
  </si>
  <si>
    <t>(1) Layer Of 5/8'' Type X Gypsum Wall Board At Both Sides</t>
  </si>
  <si>
    <t>(2) Layers Of 5/8'' Type X Gypsum Wall Board At One Side</t>
  </si>
  <si>
    <t>(1) Layer Of 5/8'' Type X Gypsum Wall Board At One Side</t>
  </si>
  <si>
    <t>(1) Layer Of 5/8'' Gypsum Wall Board At One Side</t>
  </si>
  <si>
    <t>(1) Layer Of 5/8'' DensGlass Sheathing At One Side</t>
  </si>
  <si>
    <t>(1) Layer Of 1'' Shaft Liner Gypsum Board At One Side</t>
  </si>
  <si>
    <t>(1) Layer Of 5/8'' Moisture Resistant Gypsum Wall Board At Wet Area</t>
  </si>
  <si>
    <t>(1) Layer Of 5/8" Backer Board Under Ceramic Tiles</t>
  </si>
  <si>
    <t>Sealant At Penetrations</t>
  </si>
  <si>
    <t>CEILING</t>
  </si>
  <si>
    <t>5/8" Gypsum Board Ceiling</t>
  </si>
  <si>
    <t>2'' Wide 5/8'' Gypsum Board Ceiling Soffit</t>
  </si>
  <si>
    <t>10'' Wide 5/8'' Gypsum Board Ceiling Soffit</t>
  </si>
  <si>
    <t>14'' Wide 5/8'' Gypsum Board Ceiling Soffit</t>
  </si>
  <si>
    <t>16'' Wide 5/8'' Gypsum Board Ceiling Soffit</t>
  </si>
  <si>
    <t>18'' Wide 5/8'' Gypsum Board Ceiling Soffit</t>
  </si>
  <si>
    <t>22'' Wide 5/8'' Gypsum Board Ceiling Soffit</t>
  </si>
  <si>
    <t>5/8" Type "X" Gypsum Board Ceiling</t>
  </si>
  <si>
    <t>WALL FINISHES</t>
  </si>
  <si>
    <t>Ceramic Wall Tiles At Bathroom</t>
  </si>
  <si>
    <t>Waterproofing @ Tiles</t>
  </si>
  <si>
    <t>PAINTING &amp; COATING</t>
  </si>
  <si>
    <t>Paint On Gypsum Wall Board (1 Primer 2 Coats Finish)</t>
  </si>
  <si>
    <t>Paint On Gypsum Board Ceiling (1 Primer 2 Coats Finish)</t>
  </si>
  <si>
    <t>Skim Coat &amp; Kadex</t>
  </si>
  <si>
    <t>EXTERIOR FINISHES</t>
  </si>
  <si>
    <t>Brick Modular Finish, Rail, Clip &amp; Girt System</t>
  </si>
  <si>
    <t>3/4" UHPC Cast Panel, LimeStone Finish, Rail, Clip &amp; Girt System</t>
  </si>
  <si>
    <t>12. FURNISHINGS</t>
  </si>
  <si>
    <t>COUNTERTOP &amp; BACKSPLASH</t>
  </si>
  <si>
    <t>4'' High Kitchen Backsplash</t>
  </si>
  <si>
    <t>4'' High Bathroom Backsplash</t>
  </si>
  <si>
    <t>KITCHEN ISLAND</t>
  </si>
  <si>
    <t>ROLLER SHADE</t>
  </si>
  <si>
    <t>DFB Recessed Roller Shade</t>
  </si>
  <si>
    <t>21. FIRE PROTECTION</t>
  </si>
  <si>
    <t xml:space="preserve">FIRE SPRINKLERS PIPING  </t>
  </si>
  <si>
    <t>1" Dia Fire Sprinkler Pipe</t>
  </si>
  <si>
    <t>1-1/4" Dia Fire Sprinkler Pipe</t>
  </si>
  <si>
    <t>2" Dia Fire Sprinkler Pipe</t>
  </si>
  <si>
    <t>2-1/2" Dia Fire Sprinkler Pipe</t>
  </si>
  <si>
    <t>3" Dia Fire Sprinkler Pipe</t>
  </si>
  <si>
    <t>4" Dia Fire Sprinkler Pipe</t>
  </si>
  <si>
    <t>6" Dia Fire Sprinkler Pipe</t>
  </si>
  <si>
    <t>FIRE PROTECTION EQUIPMENTS</t>
  </si>
  <si>
    <t>Jockey Pump , 10 GPM, 358 TDH, 155 PSI, 3Hp,60Cycle,208V, Peerless Pump#CR3-13</t>
  </si>
  <si>
    <t>Automatic Fire Pump, Peerless Pump #5PVF11A UL, 208/75Hp,3Ph, 3550RPM, 150PSI, 500GPM</t>
  </si>
  <si>
    <t xml:space="preserve">FIRE PROTECTION DEVICES </t>
  </si>
  <si>
    <t>2" Dia Ball Valves</t>
  </si>
  <si>
    <t>3/4" Dia Ball Valves</t>
  </si>
  <si>
    <t>2-1/"x" Pump Test Header(Flush FSP/Sprinkler Siamese 6"x3"x3"</t>
  </si>
  <si>
    <t>SP/SD 200-218</t>
  </si>
  <si>
    <t xml:space="preserve">SPRINKLERS </t>
  </si>
  <si>
    <t>Pendant Sprinkler W/ Listed Head Guard</t>
  </si>
  <si>
    <t xml:space="preserve">Sprinkler Head DS-1, Dry Horizontal Sidewall, TYCO </t>
  </si>
  <si>
    <t xml:space="preserve">Sprinkler Head G5-56, Concealed Pendant, Reliable </t>
  </si>
  <si>
    <t>Sprinkler Head GFR, Upright, Reliable</t>
  </si>
  <si>
    <t xml:space="preserve">Sprinkler Head RFC49, Residential Flush, Reliable </t>
  </si>
  <si>
    <t xml:space="preserve">Sprinkler Head RFS42, Residential Horizontal Sidewall, Reliable </t>
  </si>
  <si>
    <t>22. PLUMBING</t>
  </si>
  <si>
    <t>P198, P200-P203, P210, P215, P216, P401, P402, P421, P431, P432</t>
  </si>
  <si>
    <t>PIPING</t>
  </si>
  <si>
    <t>TYPE L COPPER</t>
  </si>
  <si>
    <t>1" Cold Water Pipe</t>
  </si>
  <si>
    <t>1" Hot Water Pipe</t>
  </si>
  <si>
    <t>1/2" Cold Water Pipe</t>
  </si>
  <si>
    <t>1/2" Hot Water Pipe</t>
  </si>
  <si>
    <t>1-1/2" Cold Water Pipe</t>
  </si>
  <si>
    <t>1-1/2" Hot Water Pipe</t>
  </si>
  <si>
    <t>1-1/2" Hot Water Return Pipe</t>
  </si>
  <si>
    <t>1-1/4" Cold Water Pipe</t>
  </si>
  <si>
    <t>1-1/4" Hot Water Pipe</t>
  </si>
  <si>
    <t>2-1/2" Hot Water Pipe</t>
  </si>
  <si>
    <t>3" Cold Water Pipe</t>
  </si>
  <si>
    <t>3/4" Cold Water Pipe</t>
  </si>
  <si>
    <t>3/4" Hot Waqter Return Pipe</t>
  </si>
  <si>
    <t>3/4" Hot Water Pipe</t>
  </si>
  <si>
    <t>3/4" Hot Water Return Pipe</t>
  </si>
  <si>
    <t>4" Cold Water Pipe</t>
  </si>
  <si>
    <t>6" Cold Water Pipe</t>
  </si>
  <si>
    <t>PVC SCH 40</t>
  </si>
  <si>
    <t>2" Sanitary Pipe</t>
  </si>
  <si>
    <t>2" Vent Pipe</t>
  </si>
  <si>
    <t>3" Vent Pipe</t>
  </si>
  <si>
    <t>4" Sanitary Pipe</t>
  </si>
  <si>
    <t>4" Storm Pipe</t>
  </si>
  <si>
    <t>4" Vent Pipe</t>
  </si>
  <si>
    <t>6" Sanitary Pipe</t>
  </si>
  <si>
    <t>6" Storm Drain Pipe</t>
  </si>
  <si>
    <t>8" Overflow Pipe</t>
  </si>
  <si>
    <t>3" Fresh Air Inlet Pipe</t>
  </si>
  <si>
    <t>4" Fresh Air Inlet Pipe</t>
  </si>
  <si>
    <t>BLACK STEEL SCH 40</t>
  </si>
  <si>
    <t>2" Dia gas Pipe</t>
  </si>
  <si>
    <t>2-1/2" Dia gas Pipe</t>
  </si>
  <si>
    <t>3" Dia gas Pipe</t>
  </si>
  <si>
    <t>4" Dia gas Pipe</t>
  </si>
  <si>
    <t>PLUMBING FIXTURES</t>
  </si>
  <si>
    <t>BT, Bathtub</t>
  </si>
  <si>
    <t>WM, Clothes Washer</t>
  </si>
  <si>
    <t>DW, Dish Washer</t>
  </si>
  <si>
    <t>HB, Hose Bib, J.R. Smith, 5619QT, Quarter Turn</t>
  </si>
  <si>
    <t>KS, Kitchen Sink</t>
  </si>
  <si>
    <t>LAV, Lavatory</t>
  </si>
  <si>
    <t>REF, Refrigerator</t>
  </si>
  <si>
    <t>SH, Shower</t>
  </si>
  <si>
    <t>SS, Slop Sink</t>
  </si>
  <si>
    <t>WC, Water Closet</t>
  </si>
  <si>
    <t>FD-1, Floor Drain, J.R. Smith, 2005-P050, Duco Cast Iron Body With Flashing Collar</t>
  </si>
  <si>
    <t>FD-2, Floor Drain, J.R. Smith, 2230, Cast Iron Floor Drain W/Integral Claming Collar</t>
  </si>
  <si>
    <t>FD-4, Floor Drain, J.R. Smith, 2690, Stainless Steel Square Floor Drain With Non-Tilt S/S Grate</t>
  </si>
  <si>
    <t>OD-1, Roof Overflow Drain, J.R. Smith, Duco Cast Iron Body W/ Adjustable Extension Sleeve</t>
  </si>
  <si>
    <t>RD-1, Roof Drain, J.R. Smith, 1010 (-83), Duco Cast Iron Body With Combined Flashing Clamp</t>
  </si>
  <si>
    <t>TD-1, Elevator Threshold Drain, J.R. Smith, 9678-100, Threshold Trench Drain. 6 Anchor Strap and Vanidal Stainless Steel</t>
  </si>
  <si>
    <t>TP-1,Trap Primer, Precision Plumbing Products, PRIME PRO, With Distribution Unit As Required</t>
  </si>
  <si>
    <t>PLUMBING EQUIPMENTS</t>
  </si>
  <si>
    <t>ESP-1, Sumplex Sump Pump, 3600 RPM, 1/2 HP, 208V, 1 PH, 60 Hz, 2'X2'X2'</t>
  </si>
  <si>
    <t>CP-1, Circulation Pump, 2800 RPM, 1/2 HP, 115V, 1 PH, 60 Hz</t>
  </si>
  <si>
    <t>CP-2, Circulation Pump, 2800 RPM, 1/2 HP, 115V, 1 PH, 60 Hz</t>
  </si>
  <si>
    <t>CP-3, Circulation Pump, 2800 RPM, 1/6 HP, 115V, 1PH, 60 Hz</t>
  </si>
  <si>
    <t>CP-4, Circulation Pump, 2800 RPM, 1/6 HP, 115V, 1PH, 60 Hz</t>
  </si>
  <si>
    <t>EP-1, Duplex Sewage Ejector Pump In 3'X3'X8' Pit, Cellar Water Room Ejector Pit, 3455 Rpm, 3 Hp, 208/3/60</t>
  </si>
  <si>
    <t>GB-1, Gas Booster, 3450 Rpm, 1/2 Hp, 208/3/60, Eclipse Compac HB3314</t>
  </si>
  <si>
    <t>GB-2, Gas Booster, 3450 Rpm, 1/2 Hp, 208/3/60, Eclipse Compac HB3314</t>
  </si>
  <si>
    <t>Heat Exchanger, Plate Concepts, #HXMBC753-DW-A4015, 15 GPM, 5 Psi</t>
  </si>
  <si>
    <t>HWH-1, Domestic Water Heater, Intellihot, IN501, 500 MBH, 20"/20"/67.5"</t>
  </si>
  <si>
    <t>HWH-2, Domestic Water Heater, Intellihot, IN501, 500 MBH, 20"/20"/67.5"</t>
  </si>
  <si>
    <t>HWH-3, Domestic Water Heater, Intellihot, IN501, 500 MBH, 20"/20"/67.5"</t>
  </si>
  <si>
    <t>HWH-4, Domestic Water Heater, Intellihot, IN501, 500 MBH, 20"/20"/67.5"</t>
  </si>
  <si>
    <t>CT-1, Diaphram Tank, Amtrol, #WX-405C, ASME 125PSIG</t>
  </si>
  <si>
    <t>ET-1, Expansion Tank, PT 80 V</t>
  </si>
  <si>
    <t>BP-1, Duplex Booster Pump, Peerless Pump Package, #135DCRH100BP-GAF, 135 GPM, 3500 RPM, 15 HP, 208V, 3 PH, 60 Hz</t>
  </si>
  <si>
    <t>PLUMBING DEVICES</t>
  </si>
  <si>
    <t>1" Ball Valve</t>
  </si>
  <si>
    <t>1" Check Valve</t>
  </si>
  <si>
    <t>1" Solenoid Valve</t>
  </si>
  <si>
    <t>1/2" Trap Primer</t>
  </si>
  <si>
    <t>1-1/2" Ball Valve</t>
  </si>
  <si>
    <t>1-1/4" Ball Valve</t>
  </si>
  <si>
    <t>2" Ball Valve</t>
  </si>
  <si>
    <t>2" Test Tee Valve</t>
  </si>
  <si>
    <t>2-1/2" Ball Valve</t>
  </si>
  <si>
    <t>3" Ball Valve</t>
  </si>
  <si>
    <t>3/4" Ball Valve</t>
  </si>
  <si>
    <t>3/4" Check Valve</t>
  </si>
  <si>
    <t>4" Backwater Check Valve</t>
  </si>
  <si>
    <t>4" Ball Valve</t>
  </si>
  <si>
    <t>4" BLDG. Shutoff Valve</t>
  </si>
  <si>
    <t>4" Check Valve</t>
  </si>
  <si>
    <t>4" Curb Valve</t>
  </si>
  <si>
    <t>4" Gas Valve</t>
  </si>
  <si>
    <t>3" Gas Valve</t>
  </si>
  <si>
    <t>2-1/2" Gas Valve</t>
  </si>
  <si>
    <t>2" Gas Valve</t>
  </si>
  <si>
    <t>4" Gate Valve</t>
  </si>
  <si>
    <t>4" HOS Valve</t>
  </si>
  <si>
    <t>4" Trap Primer</t>
  </si>
  <si>
    <t>6" BLDG. Shutoff Valve</t>
  </si>
  <si>
    <t>6" Curb Valve</t>
  </si>
  <si>
    <t>RPZ-2", Watts, #LF-009</t>
  </si>
  <si>
    <t>RPZ-3/4", Watts, #LF-009</t>
  </si>
  <si>
    <t>RPZ-4", Watts, #LF-009</t>
  </si>
  <si>
    <t>RPZ-6", Watts, #LF-009</t>
  </si>
  <si>
    <t>PRV, Pressure Reducing Valve,  Harper Control Solutions, Inc. CLA-VAL 90G-01ASKXHCSILF, 150 Lbs, Flanged Body SS Trim, 30-300 Psi</t>
  </si>
  <si>
    <t>GM-1, Gas Meter (HWH)</t>
  </si>
  <si>
    <t>GM-2, Gas Meter (Emergency Generator)</t>
  </si>
  <si>
    <t>MISCELLANEOUS</t>
  </si>
  <si>
    <t xml:space="preserve">24"X36" Access Hatch To Stormwater Detention Tank </t>
  </si>
  <si>
    <t>CODP, Cleanout Deck Plate, J.R. Smith, #4020, 4" Dia, Duco Cast Iron W/ Round Adjustable Scoirated Nickel Bronze Top. Vandal Proof</t>
  </si>
  <si>
    <t>Downspout Spill Within SplashBlock</t>
  </si>
  <si>
    <t>NFRH, Non-Freeze Roof Hydrant, WoodFord, RHY2-MS, With An Asse 1052 Double Check Backflow Preventer</t>
  </si>
  <si>
    <t>NFWH, Non-Freeze Wall Hydrant, J.R. Smith, 5509QT, With 3/4" Hose Connection Integral Vaccuum Breaker</t>
  </si>
  <si>
    <t xml:space="preserve">Washdown Ring </t>
  </si>
  <si>
    <t>4" Dia Gas Head Service Valves</t>
  </si>
  <si>
    <t>4" VTR, Vent Thru Roof</t>
  </si>
  <si>
    <t>4" Water Meter</t>
  </si>
  <si>
    <t>Strainer</t>
  </si>
  <si>
    <t>23. HEATING VENTILATING &amp; AIR CONDITIONING (HVAC)</t>
  </si>
  <si>
    <t>M200-M203, M210, M215 -M219</t>
  </si>
  <si>
    <t>DUCTWORK (AIR DISTRIBUTION)</t>
  </si>
  <si>
    <t>10"x10" Exhaust Air Duct</t>
  </si>
  <si>
    <t>10"x6" Exhaust Air Duct</t>
  </si>
  <si>
    <t>12"x10" Exhaust Air Duct</t>
  </si>
  <si>
    <t>12"x12" Exhaust Air Duct</t>
  </si>
  <si>
    <t>12"x6" Exhaust Air Duct</t>
  </si>
  <si>
    <t>14"x6" Exhaust Air Duct</t>
  </si>
  <si>
    <t>14"x8" Exhaust Air Duct</t>
  </si>
  <si>
    <t>16" Dia Exhaust Air Duct</t>
  </si>
  <si>
    <t>16"x10" Exhaust Air Duct</t>
  </si>
  <si>
    <t>16"x12" Exhaust Air Duct</t>
  </si>
  <si>
    <t>16"x8" Exhaust Air Duct</t>
  </si>
  <si>
    <t>18"x10" Exhaust Air Duct</t>
  </si>
  <si>
    <t>18"x8" Exhaust Air Duct</t>
  </si>
  <si>
    <t>22"x8" Exhaust Air Duct</t>
  </si>
  <si>
    <t>5" Dia Exhaust Air Duct</t>
  </si>
  <si>
    <t>5"x4" Exhaust Air Duct</t>
  </si>
  <si>
    <t>6" Dia Flue Vent Duct (AL29-4C)</t>
  </si>
  <si>
    <t>8" Dia Vent Duct</t>
  </si>
  <si>
    <t>8"x6" Exhaust Air Duct</t>
  </si>
  <si>
    <t>12"x12" Outside Air Duct</t>
  </si>
  <si>
    <t>16"x8" Outside Air Duct</t>
  </si>
  <si>
    <t>10"x10" Return Air Duct</t>
  </si>
  <si>
    <t>10"x6" Return Air Duct</t>
  </si>
  <si>
    <t>10"x8" Return Air Duct</t>
  </si>
  <si>
    <t>12"x12" Return Air Duct</t>
  </si>
  <si>
    <t>12"x6" Return Air Duct</t>
  </si>
  <si>
    <t>12"x8" Return Air Duct</t>
  </si>
  <si>
    <t>14"x10" Return Air Duct</t>
  </si>
  <si>
    <t>14"x6" Return Air Duct</t>
  </si>
  <si>
    <t>14"x8" Return Air Duct</t>
  </si>
  <si>
    <t>16"x12" Return Air Duct</t>
  </si>
  <si>
    <t>16"x6" Return Air Duct</t>
  </si>
  <si>
    <t>16"x8" Return Air Duct</t>
  </si>
  <si>
    <t>18"x6" Return Air Duct</t>
  </si>
  <si>
    <t>18"x8" Return Air Duct</t>
  </si>
  <si>
    <t>22"x6" Return Air Duct</t>
  </si>
  <si>
    <t>22"x8" Return Air Duct</t>
  </si>
  <si>
    <t>24"x8" Return Air Duct</t>
  </si>
  <si>
    <t>26"x10" Return Air Duct</t>
  </si>
  <si>
    <t>28"x10" Return Air Duct</t>
  </si>
  <si>
    <t>6"x6" Return Air Duct</t>
  </si>
  <si>
    <t>8"x6" Return Air Duct</t>
  </si>
  <si>
    <t>10"x10" Supply Air Duct</t>
  </si>
  <si>
    <t>10"x6" Supply Air Duct</t>
  </si>
  <si>
    <t>12"x12" Supply Air Duct</t>
  </si>
  <si>
    <t>18"x6" Supply Air Duct</t>
  </si>
  <si>
    <t>20"x10" Supply Air Duct</t>
  </si>
  <si>
    <t>20"x14" Supply Air Duct</t>
  </si>
  <si>
    <t>5" Dia Supply Air Duct</t>
  </si>
  <si>
    <t>5"x4" Supply Air Duct</t>
  </si>
  <si>
    <t>6"x4" Supply Air Duct</t>
  </si>
  <si>
    <t>6"x6" Supply Air Duct</t>
  </si>
  <si>
    <t>8"x6" Supply Air Duct</t>
  </si>
  <si>
    <t>AIR DEVICES</t>
  </si>
  <si>
    <t>10"x6" T.O, Transfer Opening</t>
  </si>
  <si>
    <t>10'-0" Continuous 4"H Linear Bar Grille, 3'-6" Active Section (340)</t>
  </si>
  <si>
    <t>10'-0" Continuous 5" Linear Bar Grille, 4'-0" Active Session (270)</t>
  </si>
  <si>
    <t>10'-0" Continuous Linear Diffuser, (1) 1.5" Slot, (1) 2'-0" Active Session (65)</t>
  </si>
  <si>
    <t>10'-0" Continuous Linear Diffuser, (1) 1.5" Slot, (2) 2'-6" Active Session (150)</t>
  </si>
  <si>
    <t>12'-0" Continuous 4" Linear Bar Grille, (2) 2'-6" Active Section (225)</t>
  </si>
  <si>
    <t>12'-0" Continuous Linear Diffuser, (1) 1.5" Slot, (1) 2'-0" Active Session (120)</t>
  </si>
  <si>
    <t>12'-0" Continuous Linear Diffuser, (1) 1.5" Slot, (2) 3'-6" Active Session (170)</t>
  </si>
  <si>
    <t>14'-0" Continuous 4"H Linear Bar Grille, 3'-0" Active Session (300)</t>
  </si>
  <si>
    <t>17'-6" Continuous 4" Linear Bar Grille, (1) 1.5 Slot, (2) 3'-0" Active Section (300)</t>
  </si>
  <si>
    <t>2.0 SQ-FT Air Intake Louver</t>
  </si>
  <si>
    <t>26'-0" Continuous Linear Diffuser, (1) 1.5" Slot, 3'-0" Active Session (180), (2) 5' Active Section (300)</t>
  </si>
  <si>
    <t>26'-0" Continuous Linear Diffuser, (1) 1.5" Slot, 5' Active Session (300)</t>
  </si>
  <si>
    <t>3'-0" Continuous 4"H Linear Bar Grille, Model Airline(AL/TL) By Anemostat</t>
  </si>
  <si>
    <t>4'-0" Continuous Linear Diffuser, (1) 1.5" Slot, (1) 2'-0" Active Section (35)</t>
  </si>
  <si>
    <t>4'-0" Continuous Linear Diffuser, (1) 1.5" Slot, (1) 2'-0" Active Section (40)</t>
  </si>
  <si>
    <t>4'-0" Continuous Linear Diffuser, (1) 1.5" Slot, (1) 2'-0" Active Section (50)</t>
  </si>
  <si>
    <t>4'-0" Continuous Linear Diffuser, (1) 1.5" Slot, (1) 2'-0" Active Section (60)</t>
  </si>
  <si>
    <t>4'-0" Continuous Linear Diffuser, (1) 1.5" Slot, (1) 2'-0" Active Session (50)</t>
  </si>
  <si>
    <t>5"x4" T.O, Transfer Opening w/Wall Grille</t>
  </si>
  <si>
    <t>5.0 SQ-FT Smoke Vent Louver w/ Bird Screen</t>
  </si>
  <si>
    <t>50 SQ-In Free Area Louver</t>
  </si>
  <si>
    <t>5'-0" Continuous 4"H Linear Bar Grille, 2'-0" Active Section (200), Model Airline(AL/TL) By Anemostat</t>
  </si>
  <si>
    <t>5'-0" Continuous 4"H Linear Bar Grille, 2'-0" Active Session (200), Model Airline(AL/TL) By Anemostat</t>
  </si>
  <si>
    <t>5'-0" Continuous 4"H Linear Bar Grille, 3'-0" Active Section (265), Model Airline(AL/TL) By Anemostat</t>
  </si>
  <si>
    <t>5'-0" Continuous 4"H Linear Bar Grille, 3'-0" Active Session (265), Model Airline(AL/TL) By Anemostat</t>
  </si>
  <si>
    <t>5'-0" Continuous 4"H Linear Bar Grille, 3'-6" Active Session (320), Model Airline(AL/TL) By Anemostat</t>
  </si>
  <si>
    <t>5'-0" Continuous Linear Diffuser, (1) 1.5" Slot, (1) 2'-0" Active Section (100), Model Free Flo (FFCM-150) By Anemostat</t>
  </si>
  <si>
    <t>5'-0" Continuous Linear Diffuser, (1) 1.5" Slot, (1) 2'-0" Active Session (30), Model Free Flo (FFCM-150) By Anemostat</t>
  </si>
  <si>
    <t>5'-0" Continuous Linear Diffuser, (1) 1.5" Slot, (1) 2'-0" Active Session (40), Model Free Flo (FFCM-150) By Anemostat</t>
  </si>
  <si>
    <t>5'-0" Continuous Linear Diffuser, (1) 1.5" Slot, 3' Active Session (300), Model Free Flo (FFCM-150) By Anemostat</t>
  </si>
  <si>
    <t>5'-0" Continuous Linear Diffuser, (1) 1.5" Slot, 3'-0" Active Session (170), Model Free Flo (FFCM-150) By Anemostat</t>
  </si>
  <si>
    <t>6'-0" Continuous 4" Linear Bar Grille, (1) 2'-6" Active Session (250), Model Airline(AL/TL) By Anemostat</t>
  </si>
  <si>
    <t>6'-0" Continuous Linear Diffuser, (1) 1.5" Slot, (1) 2'-0" Active Section (40), Model Free Flo (FFCM-150) By Anemostat</t>
  </si>
  <si>
    <t>6'-0" Continuous Linear Diffuser, (1) 1.5" Slot, 2'-0" Active Section (600), Model Free Flo (FFCM-150) By Anemostat</t>
  </si>
  <si>
    <t>6'-0" Continuous Linear Diffuser, (1) 1.5" Slot, 3'-0" Active Session (170), Model Free Flo (FFCM-150) By Anemostat</t>
  </si>
  <si>
    <t>7'-0" Continuous 4" Linear Bar Grille, (1) 3'-0" Active Section (250), Model Airline(AL/TL) By Anemostat</t>
  </si>
  <si>
    <t>7'-0" Continuous 4"H Linear Bar Grille, 3'-0" Active Section (300), Model Airline(AL/TL) By Anemostat</t>
  </si>
  <si>
    <t>7'-0" Continuous 4"H Linear Bar Grille, 3'-6" Active Section (320), Model Airline(AL/TL) By Anemostat</t>
  </si>
  <si>
    <t>7'-0" Continuous 4"H Linear Bar Grille, 3'-6" Active Section (340), Model Airline(AL/TL) By Anemostat</t>
  </si>
  <si>
    <t>7'-0" Continuous Linear Diffuser, (1) 1.5" Slot, (1) 3'-6" Active Section (200), Model Free Flo (FFCM-150) By Anemostat</t>
  </si>
  <si>
    <t>7'-6" Continuous 4"H Linear Bar Grille, 3'-6" Active Session (320), Model Airline(AL/TL) By Anemostat</t>
  </si>
  <si>
    <t>8-0" Continuous 4" Linear Bar Grille, 3'-6" Active Session (360), Model Airline(AL/TL) By Anemostat</t>
  </si>
  <si>
    <t>8'-0" Continuous 4"H Linear Bar Grille, 3'-0" Active Section (300), Model Airline(AL/TL) By Anemostat</t>
  </si>
  <si>
    <t>8'-0" Continuous 4"H Linear Bar Grille, 3'-6" Active Section (320), Model Airline(AL/TL) By Anemostat</t>
  </si>
  <si>
    <t>8'-0" Continuous 4"H Linear Bar Grille, 3'-6" Active Section (340), Model Airline(AL/TL) By Anemostat</t>
  </si>
  <si>
    <t>8'-0" Continuous 4"H Linear Bar Grille, 3'-6" Active Section (350), Model Airline(AL/TL) By Anemostat</t>
  </si>
  <si>
    <t>8'-0" Continuous 4"H Linear Bar Grille, 3'-6" Active Session (320), Model Airline(AL/TL) By Anemostat</t>
  </si>
  <si>
    <t>8'-0" Continuous 4"H Linear Bar Grille, 4'-0" Active Session (345), Model Airline(AL/TL) By Anemostat</t>
  </si>
  <si>
    <t>8'-0" Continuous 4"H Linear Bar Grille, 4'-0" Active Session (350), Model Airline(AL/TL) By Anemostat</t>
  </si>
  <si>
    <t>8'-0" Continuous 4"H Linear Bar Grille, 4'-0" Active Session (385), Model Airline(AL/TL) By Anemostat</t>
  </si>
  <si>
    <t>8'-0" Continuous 4"H Linear Bar Grille, 4'-0" Active Session (399), Model Airline(AL/TL) By Anemostat</t>
  </si>
  <si>
    <t>8'-0" Continuous 4"H Linear Bar Grille, 4'-0" Active Session (400), Model Airline(AL/TL) By Anemostat</t>
  </si>
  <si>
    <t>8'-0" Continuous Linear Diffuser, (1) 1.5" Slot, Model Free Flo (FFCM-150) By Anemostat</t>
  </si>
  <si>
    <t>8'-0" Continuous Linear Diffuser, (1) 1.5" Slot, (2) 3'-0" Active Session (170), Model Free Flo (FFCM-150) By Anemostat</t>
  </si>
  <si>
    <t>CD-25 CFM , Ceiling Diffuser, 12"x12", Model PG By Anemostat</t>
  </si>
  <si>
    <t>CD-30 CFM, Ceiling Diffuser, 12"x12", Model PG By Anemostat</t>
  </si>
  <si>
    <t>CEG-25 CFM , Ceiling Exhaust Grille, 6"x6", Model 30, 3/4" Spacing By Anemostat</t>
  </si>
  <si>
    <t>CEG-60 CFM , Ceiling Exhaust Grille, 6"x6", Model 30, 3/4" Spacing By Anemostat</t>
  </si>
  <si>
    <t>CER-25 CFM , Ceiling Exhaust Register, 6"x6"</t>
  </si>
  <si>
    <t>CER-35 CFM , Ceiling Exhaust Register, 6"x6"</t>
  </si>
  <si>
    <t>CER-50 CFM ,Ceiling Exhaust Register, 6"x6"</t>
  </si>
  <si>
    <t>CER-60 CFM ,Ceiling Exhaust Register, 6"x6"</t>
  </si>
  <si>
    <t>EG-100 CFM, Exhaust Grille, 8"x6", Model 30, 3/4" Spacing By Anemostat</t>
  </si>
  <si>
    <t>EG-120 CFM, Exhaust Grille,  8"x6", Model 30, 3/4" Spacing By Anemostat</t>
  </si>
  <si>
    <t>EG-150 CFM, Exhaust Grille,  8"x6", Model 30, 3/4" Spacing By Anemostat</t>
  </si>
  <si>
    <t>EG-200 CFM, Exhaust Grille,  10"x6", Model 30, 3/4" Spacing By Anemostat</t>
  </si>
  <si>
    <t>EG-25 CFM, Exhaust Grille,  6"x4", Model 30, 3/4" Spacing By Anemostat</t>
  </si>
  <si>
    <t>RG-10"x6" Return Grille</t>
  </si>
  <si>
    <t>RG-8"x6" Return Grille</t>
  </si>
  <si>
    <t>SG-120 CFM ,Supply Grille 10"x6", Model 20, 3/4" Spacing By Anemostat</t>
  </si>
  <si>
    <t>SG-120 CFM ,Supply Grille 8"x6", Model 20, 3/4" Spacing By Anemostat</t>
  </si>
  <si>
    <t>SG-130 CFM ,Supply Grille 8"x6", Model 20, 3/4" Spacing By Anemostat</t>
  </si>
  <si>
    <t>SG-25 CFM ,Supply Grille 5"x4", Model 20, 3/4" Spacing By Anemostat</t>
  </si>
  <si>
    <t>SG-25 CFM ,Supply Grille 6"x4", Model 20, 3/4" Spacing By Anemostat</t>
  </si>
  <si>
    <t>SG-30 CFM ,Supply Grille 5"x4", Model 20, 3/4" Spacing By Anemostat</t>
  </si>
  <si>
    <t>SG-400 CFM ,Supply Grille 18"x6", Model 20, 3/4" Spacing By Anemostat</t>
  </si>
  <si>
    <t>SG-50 CFM ,Supply Grille 6"x4", Model 20, 3/4" Spacing By Anemostat</t>
  </si>
  <si>
    <t>25 CFM MUA at Ceiling Plenum</t>
  </si>
  <si>
    <t>30 CFM, MUA at Ceiling Plenum</t>
  </si>
  <si>
    <t>50 CFM, MUA at Ceiling Plenum</t>
  </si>
  <si>
    <t>55 CFM, MUA at Ceiling Plenum</t>
  </si>
  <si>
    <t>65 CFM, MUA at Ceiling Plenum</t>
  </si>
  <si>
    <t>85 CFM, MUA at Ceiling Plenum</t>
  </si>
  <si>
    <t>150 CFM, Ceiling Plenum</t>
  </si>
  <si>
    <t xml:space="preserve">DAMPERS </t>
  </si>
  <si>
    <t>10"x10" Volume Damper</t>
  </si>
  <si>
    <t>10"x6" Volume Damper</t>
  </si>
  <si>
    <t>6"x4" Volume Damper</t>
  </si>
  <si>
    <t>6"x6" Volume Damper</t>
  </si>
  <si>
    <t>8"x6" Volume Damper</t>
  </si>
  <si>
    <t>COD, Cable Operated Damper</t>
  </si>
  <si>
    <t>Motorized Damper</t>
  </si>
  <si>
    <t>EQUIPMENTS</t>
  </si>
  <si>
    <t>FCU-CAS-24, DX Fan Coil Unit, Detail not Given</t>
  </si>
  <si>
    <t>ACCU-11-12,Air Cooled Condensers, 10 tons, 11,300 CFM, 208/3/60, 67/49/30, 507Lbs, LG Electronics, ARUM121BTE5</t>
  </si>
  <si>
    <t>ACCU-13-14,Air Cooled Condensers, 10 tons, 11,300 CFM, 208/3/60, 67/49/30, 507Lbs, LG Electronics, ARUM121BTE5</t>
  </si>
  <si>
    <t>ACCU-15-17,Air Cooled Condensers, 16 tons, 6600 CFM, 208/3/60, 67/49/30, 659Lbs, LG Electronics, ARUM192BTE5</t>
  </si>
  <si>
    <t>ACCU-3-6A,Air Cooled Condensers, 12 tons, 11,300 CFM, 208/3/60, 67/49/30, 639Lbs, LG Electronics, ARUM144BTE5</t>
  </si>
  <si>
    <t>ACCU-3-6B,Air Cooled Condensers, 12 tons, 11,300 CFM, 208/3/60, 67/49/30, 639Lbs, LG Electronics, ARUM144BTE5</t>
  </si>
  <si>
    <t>ACCU-7-10A,Air Cooled Condensers, 12 tons, 11,300 CFM, 208/3/60, 67/49/30, 639Lbs, LG Electronics, ARUM144BTE5</t>
  </si>
  <si>
    <t>ACCU-7-10B,Air Cooled Condensers, 12 tons, 11,300 CFM, 208/3/60, 67/49/30, 639Lbs, LG Electronics, ARUM144BTE5</t>
  </si>
  <si>
    <t>ACCU-C,Air Cooled Condensers, 12 tons, 11,300 CFM, 208/3/60, 67/49/30, 639Lbs, LG Electronics, ARUM144BTE5</t>
  </si>
  <si>
    <t>ACCU-EMR,Air Cooled Condensers, 2 tons, 2119 CFM, 208/1/60, 38/33/16, 159Lbs, LG Electronics, ARUM024GSS4</t>
  </si>
  <si>
    <t>ACCU-TH,Air Cooled Condensers, 8 tons, 11,300 CFM, 208/3/60, 67/49/30, 507Lbs, LG Electronics, ARUM096BTE5</t>
  </si>
  <si>
    <t>ECH-A, 2.0kW, Electric Ceiling Heater, 208/1/60, 160 CFM, 18.5x15.5x3.75, Berko Qff Series, QFF48483</t>
  </si>
  <si>
    <t xml:space="preserve">EDH-A, Electric Duct Heater, 208/3/60, 28"/10", Indeeco Qua Series </t>
  </si>
  <si>
    <t>ERV-A, Energy Recovery Ventilator, 600CFM, 208/1/60, 48x68x12, 106Lbs, Energywall, U-ERV-600</t>
  </si>
  <si>
    <t xml:space="preserve">EUH-A, 1.9kW, Electric Unit Heater, 208/1/60 , 270 CFM, 14x12.5x12.5, Berko Puh Series, HUH524TA </t>
  </si>
  <si>
    <t xml:space="preserve">EUH-B, 5kW, Electric Unit Heater, 208/1/60 , 270 CFM, 14x12.5x12.5, Berko Puh Series, HUH524TA </t>
  </si>
  <si>
    <t>EWH-A, 1.5kW, Electric Wall Heater, 208/1/60, 16x19x5, Berko Frc Series, FRA4024F</t>
  </si>
  <si>
    <t>EWH-B, 2.0kW, Electric Wall Heater, 100CFM, 208/1/60, 16x19x5, Berko Frc Series, FRA4024F</t>
  </si>
  <si>
    <t>EWH-B, 2.0kW (3,6,9), Electric Wall Heater, 100 CFM, 208/1/60, 16x19x5, Berko Frc Series, FRA4024F</t>
  </si>
  <si>
    <t>FCU-H-09,DX Fan Coil Unit, 0.75 ton, 385 CFM, 208/1/60, 7/27/29, 39Lbs, LG Electronics, ARNU073L1G4</t>
  </si>
  <si>
    <t>FCU-H-12,DX Fan Coil Unit, 1 ton, 399 CFM, 208/1/60, 11/36/29, 56Lbs, LG Electronics, ARNU123M2A4</t>
  </si>
  <si>
    <t>FCU-H-18,DX Fan Coil Unit, 1.5 tons, 638 CFM, 208/1/60, 11/36/29, 56Lbs, LG Electronics, ARNU183M2A4</t>
  </si>
  <si>
    <t>FCU-H-24,DX Fan Coil Unit, 2 tons, 703 CFM, 208/1/60, 11/36/29, 59Lbs, LG Electronics, ARNU243M2A4</t>
  </si>
  <si>
    <t>FCU-H-36,DX Fan Coil Unit, 3 tons, 1031 CFM, 208/1/60, 10/50/28, 86Lbs, LG Electronics, ARNU363M2A4</t>
  </si>
  <si>
    <t>FCU-V-24,DX Fan Coil Unit, 2 tons, 710 CFM, 208/1/60, 21/18/49, 117Lbs, LG Electronics, ARNU243NJA4</t>
  </si>
  <si>
    <t>FCU-V-36,DX Fan Coil Unit, 3 tons, 990 CFM, 208/1/60, 21/18/49, 121Lbs, LG Electronics, ARNU363NJA4</t>
  </si>
  <si>
    <t>FCU-WM-12,DX Fan Coil Unit, 1 ton, 300 CFM, 208/1/60, 13/32/8, 19Lbs, LG Electronics, ARNU123SJA4</t>
  </si>
  <si>
    <t>FCU-WM-24,DX Fan Coil Unit, 2 tons, 537 CFM, 208/1/60, 14/29/8, 27Lbs, LG Electronics, ARNU243SKA4</t>
  </si>
  <si>
    <t>GXF-1, Fan, 500 CFM, 1609 RPM, 208/60/1 15X21X15H, 49Lbs, GreenHack, SQ-95-VG</t>
  </si>
  <si>
    <t>HRU-A, Branch Controller Box, 208/1/60, 9"/20"/19", LG Electronics, PRHR023A</t>
  </si>
  <si>
    <t>HRU-B, Branch Controller Box, 208/1/60, 9"/20"/19", LG Electronics, PRHR033A</t>
  </si>
  <si>
    <t>HRU-C, Branch Controller Box, 208/1/60, 9"/20"/19", LG Electronics, PRHR043A</t>
  </si>
  <si>
    <t>HRU-D, Branch Controller Box, 208/1/60, 9"/20"/19", LG Electronics, PRHR063A</t>
  </si>
  <si>
    <t>PFSPF-1, Fan, 3500 CFM, 1770 RPM, 208/60/3 20x19x22H, 144Lbs, GreenHack, AX-41-190-0629</t>
  </si>
  <si>
    <t>PFSPF-2, Fan, 3500 CFM, 1770 RPM, 208/60/3 20x19x22H, 144Lbs, GreenHack, AX-41-190-0629</t>
  </si>
  <si>
    <t>RTU-1 Rooftop Unit, MUA-1, AAON, #RN-013-8-0-K609-13A, 3325 CFM, 1760 RPM, 151"x90"x50", 2549 Lbs</t>
  </si>
  <si>
    <t>SEF-1, Fan, 1800 CFM, 1756 RPM, 115/60/1 23x23x28H, 93Lbs, GreenHack, SQ-9-M1-VG</t>
  </si>
  <si>
    <t>TH-1.0kW Trech Heater</t>
  </si>
  <si>
    <t>TH-1.5kW Trech Heater</t>
  </si>
  <si>
    <t>TRXF-1, Fan, 650 CFM, 1859 RPM, 208/60/1 15x21x15H, 49Lbs, GreenHack, SQ-99-VG</t>
  </si>
  <si>
    <t>3/8 &amp; 5/8 Refrigeration Piping</t>
  </si>
  <si>
    <t>FT</t>
  </si>
  <si>
    <t>6"x6" Return Air Plenum Box w/1.0 A.L. Inactive Session</t>
  </si>
  <si>
    <t>6"x6" Return Air Plenum Box w/1.5 A.L. Inactive Session</t>
  </si>
  <si>
    <t>8"x6" Return Air Plenum Box w/1.5 A.L. Inactive Section</t>
  </si>
  <si>
    <t>Access Plenum</t>
  </si>
  <si>
    <t>Carbon Filter w/ Filter Rack For TRX</t>
  </si>
  <si>
    <t>Charcoal Filter</t>
  </si>
  <si>
    <t>FD/AD, Fire Damper/Access Door</t>
  </si>
  <si>
    <t>FSD/AD, Combination Fire Smoke Damper/Access Door</t>
  </si>
  <si>
    <t>CAR, Constant Air Regulator (Exhaust Air), American Alides, #CER3-R</t>
  </si>
  <si>
    <t>CAR, Constant Air Regulator (Make Up Air Supply), American Alides, #CSR3-S</t>
  </si>
  <si>
    <t>Filter w/Filter Rack, Merv-8</t>
  </si>
  <si>
    <t>Floor Heating Mat</t>
  </si>
  <si>
    <t>Gooseneck w/ Bird Screen</t>
  </si>
  <si>
    <t>Smoke Detector</t>
  </si>
  <si>
    <t>Waterproof Cap</t>
  </si>
  <si>
    <t>WMS, Wire Mesh Screen</t>
  </si>
  <si>
    <t>26. ELECTRICAL</t>
  </si>
  <si>
    <t>E-200-E-506</t>
  </si>
  <si>
    <t xml:space="preserve">ALLOWANCE  </t>
  </si>
  <si>
    <t>Allowance Provided For Conductors &amp; Conduits
Total Area:</t>
  </si>
  <si>
    <t>LS</t>
  </si>
  <si>
    <t>RECEPTACLES &amp; DISCONNECT SWITCHES</t>
  </si>
  <si>
    <t xml:space="preserve">Double Duplex Receptacle </t>
  </si>
  <si>
    <t xml:space="preserve">Duplex Receptacle </t>
  </si>
  <si>
    <t xml:space="preserve">GFCI Duplex Receptacle </t>
  </si>
  <si>
    <t xml:space="preserve">GFI Duplex Receptacle </t>
  </si>
  <si>
    <t xml:space="preserve">Special Purpose Receptacle </t>
  </si>
  <si>
    <t xml:space="preserve">WP GFCI Duplex Receptacle </t>
  </si>
  <si>
    <t>100AS/100AF Disconnect Switch</t>
  </si>
  <si>
    <t>1200AS/1200AF Disconnect Switch</t>
  </si>
  <si>
    <t>1600AS/1600AF Disconnect Switch</t>
  </si>
  <si>
    <t>200A Disconnect Switch</t>
  </si>
  <si>
    <t xml:space="preserve">200AS/200AF Disconnect Switch </t>
  </si>
  <si>
    <t>225AS/225AF Disconnect Switch</t>
  </si>
  <si>
    <t>30A Disconnect Switch</t>
  </si>
  <si>
    <t>30A/3P Disconnect Switch</t>
  </si>
  <si>
    <t xml:space="preserve">400AS/400AF Disconnect Switch </t>
  </si>
  <si>
    <t>600AS/600AF Disconnect Switch</t>
  </si>
  <si>
    <t>60A/2P Disconnect Switch</t>
  </si>
  <si>
    <t>60A/3P Disconnect Switch</t>
  </si>
  <si>
    <t xml:space="preserve">60AS/60AF Disconnect Switch </t>
  </si>
  <si>
    <t xml:space="preserve">800AS/800AF Disconnect Switch </t>
  </si>
  <si>
    <t xml:space="preserve">WP 100A/3P Disconnect Switch </t>
  </si>
  <si>
    <t>WP 200A Disconnect Switch</t>
  </si>
  <si>
    <t xml:space="preserve">WP 30A Disconnect Switch </t>
  </si>
  <si>
    <t xml:space="preserve">WP 60A Fire Alarm Disconnect Switch </t>
  </si>
  <si>
    <t xml:space="preserve">WP 60A/3P Disconnect Switch </t>
  </si>
  <si>
    <t>LIGHTING CONTROLS</t>
  </si>
  <si>
    <t xml:space="preserve">100A, 3P ATS </t>
  </si>
  <si>
    <t xml:space="preserve">2 Pole Switch </t>
  </si>
  <si>
    <t xml:space="preserve">400A, 3P ATS </t>
  </si>
  <si>
    <t xml:space="preserve">AC General Use Snap Switch </t>
  </si>
  <si>
    <t>Branch CKT ATS Hubbell Model # UL1008BCELTS1277</t>
  </si>
  <si>
    <t>POWER DISTRIBUTION</t>
  </si>
  <si>
    <t>CT Cabinet</t>
  </si>
  <si>
    <t xml:space="preserve">Elevator Control Panel </t>
  </si>
  <si>
    <t xml:space="preserve">Generator Control Panel </t>
  </si>
  <si>
    <t xml:space="preserve">Main Meter </t>
  </si>
  <si>
    <t>Panel ACCU-C, 400A, 208/120V, 3-Phase 4-Wired</t>
  </si>
  <si>
    <t xml:space="preserve">Panel ACCU-R, 600A, 208/120V, 3-Phase 4-Wired </t>
  </si>
  <si>
    <t>Panel ADP, 1200A MCB, 208/120V, 3-Phase 4-Wired</t>
  </si>
  <si>
    <t>Panel APT-10A, 100A, 208/120V, 3-Phase 4-Wired</t>
  </si>
  <si>
    <t>Panel APT-10B, 100A, 208/120V, 3-Phase 4-Wired</t>
  </si>
  <si>
    <t>Panel APT-11, 100A, 208/120V, 3-Phase 4-Wired</t>
  </si>
  <si>
    <t>Panel APT-12, 100A, 208/120V, 3-Phase 4-Wired</t>
  </si>
  <si>
    <t>Panel APT-13, 100A, 208/120V, 3-Phase 4-Wired</t>
  </si>
  <si>
    <t>Panel APT-14, 100A, 208/120V, 3-Phase 4-Wired</t>
  </si>
  <si>
    <t>Panel APT-15, 100A, 208/120V, 3-Phase 4-Wired</t>
  </si>
  <si>
    <t>Panel APT-16, 100A, 208/120V, 3-Phase 4-Wired</t>
  </si>
  <si>
    <t>Panel APT-3A, 100A, 208/120V, 3-Phase 4-Wired</t>
  </si>
  <si>
    <t>Panel APT-3B, 100A, 208/120V, 3-Phase 4-Wired</t>
  </si>
  <si>
    <t>Panel APT-4A, 100A, 208/120V, 3-Phase 4-Wired</t>
  </si>
  <si>
    <t>Panel APT-4B, 100A, 208/120V, 3-Phase 4-Wired</t>
  </si>
  <si>
    <t>Panel APT-5A, 100A, 208/120V, 3-Phase 4-Wired</t>
  </si>
  <si>
    <t>Panel APT-5B, 100A, 208/120V, 3-Phase 4-Wired</t>
  </si>
  <si>
    <t>Panel APT-6A, 100A, 208/120V, 3-Phase 4-Wired</t>
  </si>
  <si>
    <t>Panel APT-6B, 100A, 208/120V, 3-Phase 4-Wired</t>
  </si>
  <si>
    <t>Panel APT-7A, 100A, 208/120V, 3-Phase 4-Wired</t>
  </si>
  <si>
    <t>Panel APT-7B, 100A, 208/120V, 3-Phase 4-Wired</t>
  </si>
  <si>
    <t>Panel APT-8A, 100A, 208/120V, 3-Phase 4-Wired</t>
  </si>
  <si>
    <t>Panel APT-8B, 100A, 208/120V, 3-Phase 4-Wired</t>
  </si>
  <si>
    <t>Panel APT-9A, 100A, 208/120V, 3-Phase 4-Wired</t>
  </si>
  <si>
    <t>Panel APT-9B, 100A, 208/120V, 3-Phase 4-Wired</t>
  </si>
  <si>
    <t>Panel APT-TH, 200A, 208/120V, 3-Phase 4-Wired</t>
  </si>
  <si>
    <t>Panel E-APT, 200A, 208/120V, 3-Phase 4-Wired</t>
  </si>
  <si>
    <t>Panel EM, 400A, 208/120V, 3-Phase 4-Wired</t>
  </si>
  <si>
    <t>Panel EM-C, 200A, 208/120V, 3-Phase 4-Wired</t>
  </si>
  <si>
    <t>Panel EMR-A, 60A MCB, 208/120V, 3-Phase 4-Wired</t>
  </si>
  <si>
    <t>Panel FCO, 60A, 208/120V, 3-Phase 4-Wired</t>
  </si>
  <si>
    <t>Panel GYM, 100A, 208/120V, 3-Phase 4-Wired</t>
  </si>
  <si>
    <t>Panel LP-C, 100A, 208/120V, 3-Phase 4-Wired</t>
  </si>
  <si>
    <t>Panel LP-R, 100A, 208/120V, 3-Phase 4-Wired</t>
  </si>
  <si>
    <t>Panel PP-C, 225A, 208/120V, 3-Phase 4-Wired</t>
  </si>
  <si>
    <t xml:space="preserve">Panel PP-R, 225A, 208/120V, 3-Phase 4-Wired </t>
  </si>
  <si>
    <t>Panel RP-C, 225A, 208/120V, 3-Phase 4-Wired</t>
  </si>
  <si>
    <t xml:space="preserve">Panel RP-R, 225A, 208/120V, 3-Phase 4-Wired </t>
  </si>
  <si>
    <t>Fire Pump Control Panel</t>
  </si>
  <si>
    <t>Jockey Pump Control Panel</t>
  </si>
  <si>
    <t>Surge Protection Device</t>
  </si>
  <si>
    <t>Switchboard GDP, 800A, 208/120V, 3-Phase 4-Wired</t>
  </si>
  <si>
    <t>Switchboard HDPC, 1200A, 208/120V, 3-Phase 4-Wired</t>
  </si>
  <si>
    <t>Switchboard HDPR, 1600A, 208/120V, 3-Phase 4-Wired</t>
  </si>
  <si>
    <t>CIRCUIT BREAKERS</t>
  </si>
  <si>
    <t>100A/3P Breaker</t>
  </si>
  <si>
    <t>150A/3P Breaker</t>
  </si>
  <si>
    <t xml:space="preserve">15A/2P Breaker </t>
  </si>
  <si>
    <t>200A/3P Breaker</t>
  </si>
  <si>
    <t xml:space="preserve">20A/1P Breaker </t>
  </si>
  <si>
    <t xml:space="preserve">20A/2P Breaker </t>
  </si>
  <si>
    <t>20A/3P Breaker</t>
  </si>
  <si>
    <t>225A/3P Breaker</t>
  </si>
  <si>
    <t xml:space="preserve">30A/2P Breaker </t>
  </si>
  <si>
    <t>30A/3P Breaker</t>
  </si>
  <si>
    <t>35A/2P Breaker</t>
  </si>
  <si>
    <t>400A/3P Breaker</t>
  </si>
  <si>
    <t>40A/3P Breaker</t>
  </si>
  <si>
    <t>600A/3P Breaker</t>
  </si>
  <si>
    <t>70A/3P Breaker</t>
  </si>
  <si>
    <t>80A/3P Breaker</t>
  </si>
  <si>
    <t>3HP Pump Controller</t>
  </si>
  <si>
    <t xml:space="preserve">75HP Pump Controller </t>
  </si>
  <si>
    <t xml:space="preserve">Junction Box </t>
  </si>
  <si>
    <t xml:space="preserve">Com Of Carbon-Monoxide/Smoke Detector And Ble Alarm </t>
  </si>
  <si>
    <t xml:space="preserve">NID Box </t>
  </si>
  <si>
    <r>
      <rPr>
        <b/>
        <sz val="12"/>
        <rFont val="Calibri"/>
        <family val="2"/>
        <scheme val="minor"/>
      </rPr>
      <t>NOTE:</t>
    </r>
    <r>
      <rPr>
        <sz val="12"/>
        <rFont val="Calibri"/>
        <family val="2"/>
        <scheme val="minor"/>
      </rPr>
      <t xml:space="preserve"> LIGHTING PLAN IS NOT PRESENT</t>
    </r>
  </si>
  <si>
    <t xml:space="preserve">27. FIRE ALARM </t>
  </si>
  <si>
    <t>FA-110-FA-141</t>
  </si>
  <si>
    <t xml:space="preserve">FIRE ALARM DEVICES </t>
  </si>
  <si>
    <t xml:space="preserve">Carbon Monoxide Detector </t>
  </si>
  <si>
    <t xml:space="preserve">Control Module </t>
  </si>
  <si>
    <t>Dedicated Radio Console</t>
  </si>
  <si>
    <t xml:space="preserve">Digital Alarm Communication Transmitter </t>
  </si>
  <si>
    <t>Fire Access Elevator Annunciator Panel</t>
  </si>
  <si>
    <t xml:space="preserve">Fire Alarm Disconnect Switch </t>
  </si>
  <si>
    <t xml:space="preserve">Fire Alarm Command Station </t>
  </si>
  <si>
    <t>Fire Command Center</t>
  </si>
  <si>
    <t xml:space="preserve">Fire Smoke Damper </t>
  </si>
  <si>
    <t xml:space="preserve">Flow Switch </t>
  </si>
  <si>
    <t xml:space="preserve">Heat Detector </t>
  </si>
  <si>
    <t>Heat Detector (EL)</t>
  </si>
  <si>
    <t>Monitor Module</t>
  </si>
  <si>
    <t xml:space="preserve">Motorized Damper </t>
  </si>
  <si>
    <t>RAU Panel  (Detail Not Given)</t>
  </si>
  <si>
    <t xml:space="preserve">Relay Module </t>
  </si>
  <si>
    <t>Suppression Control Panel</t>
  </si>
  <si>
    <t>Smoke Detector (EL)</t>
  </si>
  <si>
    <t>Smoke Duct Detector Return Duct</t>
  </si>
  <si>
    <t>Smoke Duct Detector Supply Duct</t>
  </si>
  <si>
    <t>Tamper Switch</t>
  </si>
  <si>
    <t>Wall Mounted Fire Alarm Speaker</t>
  </si>
  <si>
    <t xml:space="preserve">Wall Mounted Fire Alarm Speaker/ Strobe </t>
  </si>
  <si>
    <t xml:space="preserve">Wall Mounted Fire Alarm Strobe </t>
  </si>
  <si>
    <t xml:space="preserve">WP Control Module </t>
  </si>
  <si>
    <t xml:space="preserve">WP Relay Module </t>
  </si>
  <si>
    <t>A100-A107,A120-A127</t>
  </si>
  <si>
    <t>A100/A108</t>
  </si>
  <si>
    <t>RAILING</t>
  </si>
  <si>
    <t>4'-5" High Galvanized Steel Guard Rail w/ Bronze Finish</t>
  </si>
  <si>
    <t>36" High Hand Rail</t>
  </si>
  <si>
    <t>36" High Guard Rail</t>
  </si>
  <si>
    <t>METALIC HARDWARE</t>
  </si>
  <si>
    <t>24" x 24" Metal Pedestal</t>
  </si>
  <si>
    <t>06. WOOD PLASTICS &amp; COMPOSITES</t>
  </si>
  <si>
    <t>MILLWORK</t>
  </si>
  <si>
    <t>2'-2" Deep Kitchen Base Cabinet</t>
  </si>
  <si>
    <t>2'-0" Deep Kitchen Base Cabinet</t>
  </si>
  <si>
    <t>1'-9" Deep Kitchen Base Cabinet</t>
  </si>
  <si>
    <t>2'-8"  Deep Vanity Base Cabinets</t>
  </si>
  <si>
    <t>2'-3"  Deep Vanity Base Cabinets</t>
  </si>
  <si>
    <t>2'-0" Deep Vanity Base Cabinet</t>
  </si>
  <si>
    <t>1'-10" Deep Vanity Base Cabinet</t>
  </si>
  <si>
    <t>1'-6" Deep Vanity Base Cabinet</t>
  </si>
  <si>
    <t>1'-2" Deep Vanity Base Cabinet</t>
  </si>
  <si>
    <t>2'-0" Closet w/ Shelves</t>
  </si>
  <si>
    <t>1'-9" Closet w/ Shelves</t>
  </si>
  <si>
    <t>1'-5" Closet w/ Shelves</t>
  </si>
  <si>
    <t>1'-3" Closet w/ Shelves</t>
  </si>
  <si>
    <t>1'-0" Closet w/ Shelves</t>
  </si>
  <si>
    <t>1'-2" Closet w/ Shelves</t>
  </si>
  <si>
    <t>0'-9" Closet w/ Shelves</t>
  </si>
  <si>
    <t>2'-0" Deep Mail Box</t>
  </si>
  <si>
    <t>2'-0" Wide Reception Desk</t>
  </si>
  <si>
    <t>2'-0" Wide Library Cabinets</t>
  </si>
  <si>
    <t>Blocking For Wall Mounted Accessories</t>
  </si>
  <si>
    <t>Filter Fleece Fabric</t>
  </si>
  <si>
    <t>1/4" Drainage Mat @ Balcony</t>
  </si>
  <si>
    <t>Water Proofing Membrane @ Balcony</t>
  </si>
  <si>
    <t>SOFFIT</t>
  </si>
  <si>
    <t>Metal Panel Soffit , Bronze Finish</t>
  </si>
  <si>
    <t>08. OPENINGS</t>
  </si>
  <si>
    <t>DOORS &amp; FRAMES</t>
  </si>
  <si>
    <t>5'-10" X 7'-0" Double Panel Swing Door</t>
  </si>
  <si>
    <t>2'-10" x 7'-0" Single Panel Swing Door</t>
  </si>
  <si>
    <t>3'-0" x 7'-0" Single Panel Swing Door</t>
  </si>
  <si>
    <t>5'-0" X 7'-0" Double Panel Swing Door</t>
  </si>
  <si>
    <t>6'-0" X 7'-0" Double Panel Swing Door</t>
  </si>
  <si>
    <t>2'-10" x 7'-0" Single Panel Pocket Door</t>
  </si>
  <si>
    <t>2'-0" x 7'-0" Single Panel Swing Door</t>
  </si>
  <si>
    <t>2'-4" x 7'-0" Single Panel Swing Door</t>
  </si>
  <si>
    <t>4'-0" X 7'-0" Double Panel Swing Door</t>
  </si>
  <si>
    <t>3'-6" X 7'-0" Double Panel Swing Door</t>
  </si>
  <si>
    <t>8'-0"x 7'-0"  4 Panel Bifold Door</t>
  </si>
  <si>
    <t>3'-3" X 7'-0" Double Panel Swing Door</t>
  </si>
  <si>
    <t>3'-0" x 7'-0" Single Panel Pocket Door</t>
  </si>
  <si>
    <t>7'-0"x 7'-0"  4 Panel Bifold Door</t>
  </si>
  <si>
    <t>WINDOWS</t>
  </si>
  <si>
    <t xml:space="preserve">MARK: 68A, SIZE: 12'-6" X 8'-0" </t>
  </si>
  <si>
    <t>MARK: W1  A, SIZE: 3' - 8 1/4" X 8' - 10", Window Type:Casement</t>
  </si>
  <si>
    <t>MARK: W1  B, SIZE: 3' - 6" X 8' - 10" , Window Type:Casement</t>
  </si>
  <si>
    <t>MARK: W1  C, SIZE: 3' - 6" X 7' - 10" , Window Type:Casement</t>
  </si>
  <si>
    <t>MARK: W1  D, SIZE: 3' - 8 1/4" X 7' - 10" , Window Type:Casement</t>
  </si>
  <si>
    <t>MARK: W1  E, SIZE: 3' - 0" X 6' - 4", Window Type:Casement</t>
  </si>
  <si>
    <t>MARK: W1  F, SIZE: 3' - 2 1/4" X 6' - 4", Window Type:Casement</t>
  </si>
  <si>
    <t>MARK: W1  G, SIZE: 5' - 0" X 6' - 4", Window Type:Casement</t>
  </si>
  <si>
    <t>MARK: W1  H, SIZE: 3' - 0" X 7' - 10", Window Type:Casement</t>
  </si>
  <si>
    <t>MARK: W1  I, SIZE: 3' - 2 1/4" X 7' - 10", Window Type:Casement</t>
  </si>
  <si>
    <t>MARK: W1  J, SIZE: 5' - 0" X 7' - 10", Window Type:Casement</t>
  </si>
  <si>
    <t>MARK: W1  K, SIZE: 3' - 0" X 8' - 4", Window Type:Casement</t>
  </si>
  <si>
    <t>MARK: W1  L, SIZE: 3' - 2 1/4" X 8' - 4", Window Type:Casement</t>
  </si>
  <si>
    <t>MARK: W1  M, SIZE: 5' - 0" X 8' - 4", Window Type:Casement</t>
  </si>
  <si>
    <t>MARK: W1  N, SIZE: 3' - 0" X 9' - 0", Window Type:Casement</t>
  </si>
  <si>
    <t>MARK: W1  O, SIZE: 3' - 2 1/4" X 9' - 0", Window Type:Casement</t>
  </si>
  <si>
    <t>MARK: W1  P, SIZE: 5' - 0" X 9' - 0", Window Type:Casement</t>
  </si>
  <si>
    <t>MARK: W1  Q, SIZE: 3' - 0" X 9' - 6", Window Type:Casement</t>
  </si>
  <si>
    <t>MARK: W1  R, SIZE: 3' - 2 1/4" X 9' - 6", Window Type:Casement</t>
  </si>
  <si>
    <t>MARK: W1  R, SIZE: 3' - 7 5/8" X 9' - 6", Window Type:Casement</t>
  </si>
  <si>
    <t>MARK: W1  S, SIZE: 4' - 2" X 9' - 6", Window Type:Casement</t>
  </si>
  <si>
    <t>MARK: W1  S, SIZE: 5' - 0" X 9' - 6", Window Type:Casement</t>
  </si>
  <si>
    <t>MARK: W1  T, SIZE: 3' - 0" X 8' - 0", Window Type:Casement</t>
  </si>
  <si>
    <t>MARK: W1  W, SIZE: 3' - 2 1/4" X 8' - 0", Window Type:Casement</t>
  </si>
  <si>
    <t>MARK: W1  W, SIZE: 3' - 7 5/8" X 8' - 0", Window Type:Casement</t>
  </si>
  <si>
    <t>MARK: W1  X, SIZE: 4' - 5 7/8" X 8' - 0", Window Type:Casement</t>
  </si>
  <si>
    <t>MARK: W1  X, SIZE: 5' - 0" X 8' - 0", Window Type:Casement</t>
  </si>
  <si>
    <t>MARK: W1  Y, SIZE: 3' - 0" X 10' - 0", Window Type:Casement</t>
  </si>
  <si>
    <t>MARK: W1  Z, SIZE: 3' - 7 5/8" X 10' - 0", Window Type:Casement</t>
  </si>
  <si>
    <t>MARK: W1  ZA, SIZE: 5' - 0" X 10' - 0", Window Type:Casement</t>
  </si>
  <si>
    <t>MARK: W1  ZB, SIZE: 6' - 0" X 6' - 9", Window Type:Casement</t>
  </si>
  <si>
    <t>MARK: W1  ZC, SIZE: 3' - 0" X 6' - 9", Window Type:Casement</t>
  </si>
  <si>
    <t>MARK: W1  ZD, SIZE: 4' - 3" X 6' - 9", Window Type:Casement</t>
  </si>
  <si>
    <t>MARK: W2  A, SIZE: 12' - 6" X 7' - 10", Window Type: Sided Casement, Center Fixed</t>
  </si>
  <si>
    <t>MARK: W3  A, SIZE: 12' - 6" X 8' - 10", Window Type: Sided Casement, Center Fixed</t>
  </si>
  <si>
    <t>MARK: W4  A, SIZE: 3' - 8 1/4" X 9' - 5", Window Type: Small Bay Casement,Big Bad Fixed</t>
  </si>
  <si>
    <t>MARK: W5  A, SIZE: 8' - 8" X 8' - 4", Window Type: Small Bay Casement,Big Bad Fixed</t>
  </si>
  <si>
    <t>MARK: W5  B, SIZE: 8' - 8" X 9' - 6", Window Type: Small Bay Casement,Big Bad Fixed</t>
  </si>
  <si>
    <t>MARK: W5  C, SIZE: 8' - 8" X 7' - 10", Window Type: Small Bay Casement,Big Bad Fixed</t>
  </si>
  <si>
    <t>MARK: W5  D, SIZE: 8' - 8" X 9' - 6" , Window Type: Small Bay Casement,Big Bad Fixed</t>
  </si>
  <si>
    <t>MARK: W6  A, SIZE: 12' - 6" X 8' - 4", Window Type: Sliding</t>
  </si>
  <si>
    <t>MARK: W6  B, SIZE: 12' - 6" X 7' - 10", Window Type: Sliding</t>
  </si>
  <si>
    <t>MARK: W6  C, SIZE: 12' - 6" X 8' - 4", Window Type: Sliding</t>
  </si>
  <si>
    <t>MARK: W6  F, SIZE: 12' - 6" X 9' - 6", Window Type: Sliding</t>
  </si>
  <si>
    <t>MARK: W6  G, SIZE: 10' - 0" X 9' - 6", Window Type: Sliding</t>
  </si>
  <si>
    <t>MARK: W6  H, SIZE: 10' - 0" X 8' - 0", Window Type: Sliding</t>
  </si>
  <si>
    <t>MARK: W6  I, SIZE: 10' - 0" X 10' - 0", Window Type: Sliding</t>
  </si>
  <si>
    <t>GLASS PARTITIONS</t>
  </si>
  <si>
    <t xml:space="preserve">8'-0" High Tempered Glass </t>
  </si>
  <si>
    <t>DOOR HARDWEAR SET</t>
  </si>
  <si>
    <t>Allowance Is Added For Door Hardware Set
Total No Of Doors = 343 Each</t>
  </si>
  <si>
    <t>FLOORING</t>
  </si>
  <si>
    <t>Trex wood Flooring</t>
  </si>
  <si>
    <t>Wood Flooring</t>
  </si>
  <si>
    <t>Tile Flooring</t>
  </si>
  <si>
    <t>Stone Tile</t>
  </si>
  <si>
    <t>Carpet Tile</t>
  </si>
  <si>
    <t>2" Concrete Pavers</t>
  </si>
  <si>
    <t>Sealed Concrete</t>
  </si>
  <si>
    <t>10 mm Acoustic Mat</t>
  </si>
  <si>
    <t>BASE, TRIMS, TRANSITIONS</t>
  </si>
  <si>
    <t>Wood To Tile Transition</t>
  </si>
  <si>
    <t>Wood To Concrete Transition</t>
  </si>
  <si>
    <t>Wood To Stone Tile Transition</t>
  </si>
  <si>
    <t>Wood To Carpet Tile Transition</t>
  </si>
  <si>
    <t>Carpet Tile To Tile Transition</t>
  </si>
  <si>
    <t>Carpet Tile To  Stone Tile Transition</t>
  </si>
  <si>
    <t>Wood Wall Base</t>
  </si>
  <si>
    <t>Tile Wall Base</t>
  </si>
  <si>
    <t>Carpet Tile Wall Base</t>
  </si>
  <si>
    <t>Stone Tile Wall Base</t>
  </si>
  <si>
    <t>Door Trim</t>
  </si>
  <si>
    <t>Window Trim</t>
  </si>
  <si>
    <t>Paint On Door (1 Primer 2 Coats Finish)</t>
  </si>
  <si>
    <t>Paint On Door Trim (1 Primer 2 Coats Finish)</t>
  </si>
  <si>
    <t>10. SPECIALITIES</t>
  </si>
  <si>
    <t>BATHROOM ACCESSORIES</t>
  </si>
  <si>
    <t>18'' Long Grabl Bar</t>
  </si>
  <si>
    <t>36'' Long Grab Bar</t>
  </si>
  <si>
    <t>42'' Long Grab Bar</t>
  </si>
  <si>
    <t>Tissue Paper Holder</t>
  </si>
  <si>
    <t>Soap Dispenser</t>
  </si>
  <si>
    <t>Vanity Mirror</t>
  </si>
  <si>
    <t>Oval Shaped Water Tub</t>
  </si>
  <si>
    <t>3'-0" x 5'-0" Shower Enclosure</t>
  </si>
  <si>
    <t>3'-0" x 5'-5" Shower Enclosure</t>
  </si>
  <si>
    <t>11. EQUIPMENT</t>
  </si>
  <si>
    <t>KITCHEN &amp; LAUNDRY APPLIANCE</t>
  </si>
  <si>
    <t>Dish Washer</t>
  </si>
  <si>
    <t>Under Counter Refrigerator</t>
  </si>
  <si>
    <t>Cooking Range</t>
  </si>
  <si>
    <t>Stacked Washer &amp; Dryer</t>
  </si>
  <si>
    <t>Washer</t>
  </si>
  <si>
    <t>Dryer</t>
  </si>
  <si>
    <t>2'-2" Deep Kitchen Countertop</t>
  </si>
  <si>
    <t>2'-0" Deep Kitchen Countertop</t>
  </si>
  <si>
    <t>1'-9" Deep Kitchen Countertop</t>
  </si>
  <si>
    <t>2'-8"  Deep Vanity Countertop</t>
  </si>
  <si>
    <t>2'-3"  Deep Vanity Countertop</t>
  </si>
  <si>
    <t>2'-0" Deep Vanity Countertop</t>
  </si>
  <si>
    <t>1'-10" Deep Vanity Countertop</t>
  </si>
  <si>
    <t>1'-6" Deep Vanity Countertop</t>
  </si>
  <si>
    <t>1'-2" Deep Vanity Countertop</t>
  </si>
  <si>
    <t>4'-8" x 8'-10" Kitchen Island</t>
  </si>
  <si>
    <t>4'-0" x 18'-2" Kitchen Island</t>
  </si>
  <si>
    <t>4'-0" x 15'-3" Kitchen Island</t>
  </si>
  <si>
    <t>3'-4" x 6'-6" Kitchen Island</t>
  </si>
  <si>
    <t>6'-0" x 8'-0" Kitchen Island</t>
  </si>
  <si>
    <t>14. CONVEYING EQUIPMENTS</t>
  </si>
  <si>
    <t>A101</t>
  </si>
  <si>
    <t>ELEVATOR</t>
  </si>
  <si>
    <t>5'-0''x6'-0'' Elevator w/
1 EA = No Of Openings</t>
  </si>
  <si>
    <t>5'-0''x7'-0'' Elevator w/
1 EA = No Of Openings</t>
  </si>
  <si>
    <t>TRASH CHUTE</t>
  </si>
  <si>
    <t>2'-4" x 2'-8" Trash Chute</t>
  </si>
  <si>
    <t>32. EXTERIOR IMPROVEMENTS</t>
  </si>
  <si>
    <t>A103/108/050</t>
  </si>
  <si>
    <t>LANDSCAPE</t>
  </si>
  <si>
    <t>PLANTING AREA</t>
  </si>
  <si>
    <t>Planting Area</t>
  </si>
  <si>
    <t>TREES, SHRUB &amp; GROUND COVER</t>
  </si>
  <si>
    <t>Tree + Pit</t>
  </si>
  <si>
    <t>CONCRETE FOR FlOOR</t>
  </si>
  <si>
    <t>1/2" Self Leveling</t>
  </si>
  <si>
    <t>10 WEST 17TH STREET, NEW YORK, NY 10011</t>
  </si>
  <si>
    <t>2'-0" Deep Panitary Cabinet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</si>
</sst>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_(&quot;$&quot;* #,##0.00_);_(&quot;$&quot;* \(#,##0.00\);_(&quot;$&quot;* &quot;-&quot;??_);_(@_)"/>
    <numFmt numFmtId="165" formatCode="&quot;$&quot;#,##0.00"/>
    <numFmt numFmtId="166" formatCode="0.0"/>
    <numFmt numFmtId="167" formatCode="_(&quot;$&quot;* #,##0.0_);_(&quot;$&quot;* \(#,##0.0\);_(&quot;$&quot;* &quot;-&quot;??_);_(@_)"/>
    <numFmt numFmtId="168" formatCode="&quot;$&quot;#,##0"/>
    <numFmt numFmtId="169" formatCode="_(&quot;$&quot;* #,##0_);_(&quot;$&quot;* \(#,##0\);_(&quot;$&quot;* &quot;-&quot;?_);_(@_)"/>
    <numFmt numFmtId="170" formatCode="_(&quot;$&quot;* #,##0_);_(&quot;$&quot;* \(#,##0\);_(&quot;$&quot;* &quot;-&quot;??_);_(@_)"/>
    <numFmt numFmtId="171" formatCode="0.000"/>
    <numFmt numFmtId="172" formatCode="_(&quot;$&quot;* #,##0.00_);_(&quot;$&quot;* \(#,##0.00\);_(&quot;$&quot;* &quot;-&quot;?_);_(@_)"/>
    <numFmt numFmtId="173" formatCode="_([$$-409]* #,##0.00_);_([$$-409]* \(#,##0.00\);_([$$-409]* &quot;-&quot;??_);_(@_)"/>
    <numFmt numFmtId="174" formatCode="_([$$-409]* #,##0_);_([$$-409]* \(#,##0\);_([$$-409]* &quot;-&quot;??_);_(@_)"/>
  </numFmts>
  <fonts count="3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b/>
      <sz val="11"/>
      <color rgb="FF333333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badi"/>
      <family val="2"/>
    </font>
    <font>
      <b/>
      <sz val="12"/>
      <color theme="0"/>
      <name val="Abadi"/>
      <family val="2"/>
    </font>
    <font>
      <b/>
      <sz val="14"/>
      <color theme="1"/>
      <name val="Abadi"/>
      <family val="2"/>
    </font>
    <font>
      <b/>
      <sz val="14"/>
      <color rgb="FFFF0000"/>
      <name val="Abadi"/>
      <family val="2"/>
    </font>
    <font>
      <b/>
      <sz val="14"/>
      <color theme="0"/>
      <name val="Abadi"/>
      <family val="2"/>
    </font>
    <font>
      <b/>
      <sz val="12"/>
      <name val="Calibri"/>
      <family val="2"/>
      <scheme val="minor"/>
    </font>
    <font>
      <sz val="12"/>
      <color theme="0"/>
      <name val="Abadi"/>
      <family val="2"/>
    </font>
    <font>
      <b/>
      <sz val="12"/>
      <name val="Abadi"/>
      <family val="2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6"/>
      <color rgb="FFFF0000"/>
      <name val="Abadi"/>
      <family val="2"/>
    </font>
    <font>
      <b/>
      <sz val="11"/>
      <color rgb="FFFF0000"/>
      <name val="Calibri"/>
      <family val="2"/>
      <scheme val="minor"/>
    </font>
    <font>
      <sz val="18"/>
      <name val="Abadi"/>
      <family val="2"/>
    </font>
    <font>
      <b/>
      <sz val="14"/>
      <name val="Abadi"/>
      <family val="2"/>
    </font>
    <font>
      <b/>
      <sz val="11"/>
      <color theme="1"/>
      <name val="Abadi"/>
      <family val="2"/>
    </font>
    <font>
      <b/>
      <sz val="12"/>
      <color theme="1"/>
      <name val="Abadi"/>
      <family val="2"/>
    </font>
    <font>
      <sz val="12"/>
      <color theme="1"/>
      <name val="Abadi"/>
      <family val="2"/>
    </font>
    <font>
      <sz val="11"/>
      <color theme="1"/>
      <name val="Abadi"/>
      <family val="2"/>
    </font>
    <font>
      <sz val="11"/>
      <name val="Abadi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gradientFill degree="90">
        <stop position="0">
          <color theme="5"/>
        </stop>
        <stop position="1">
          <color theme="2" tint="-9.8025452436902985E-2"/>
        </stop>
      </gradientFill>
    </fill>
    <fill>
      <gradientFill degree="90">
        <stop position="0">
          <color theme="5" tint="-0.25098422193060094"/>
        </stop>
        <stop position="1">
          <color theme="0" tint="-0.49800103762932219"/>
        </stop>
      </gradientFill>
    </fill>
    <fill>
      <patternFill patternType="solid">
        <fgColor rgb="FFFFFFCC"/>
        <bgColor indexed="64"/>
      </patternFill>
    </fill>
    <fill>
      <gradientFill degree="270">
        <stop position="0">
          <color rgb="FFAAD2DA"/>
        </stop>
        <stop position="1">
          <color rgb="FF4A909A"/>
        </stop>
      </gradientFill>
    </fill>
    <fill>
      <gradientFill>
        <stop position="0">
          <color theme="5" tint="0.79998168889431442"/>
        </stop>
        <stop position="1">
          <color theme="5" tint="-0.25098422193060094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5" tint="-0.25098422193060094"/>
        </stop>
        <stop position="1">
          <color theme="0" tint="-0.49797051911984619"/>
        </stop>
      </gradientFill>
    </fill>
    <fill>
      <gradientFill>
        <stop position="0">
          <color theme="5" tint="0.79995117038483843"/>
        </stop>
        <stop position="1">
          <color theme="5" tint="-0.25098422193060094"/>
        </stop>
      </gradientFill>
    </fill>
    <fill>
      <patternFill patternType="solid">
        <fgColor theme="4" tint="-0.249977111117893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medium">
        <color theme="1"/>
      </top>
      <bottom style="medium">
        <color theme="1"/>
      </bottom>
      <diagonal/>
    </border>
    <border>
      <left style="thin">
        <color auto="1"/>
      </left>
      <right style="thin">
        <color rgb="FFB2B2B2"/>
      </right>
      <top style="thin">
        <color auto="1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22"/>
      </top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 style="medium">
        <color auto="1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indexed="22"/>
      </top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indexed="22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165" fontId="8" fillId="3" borderId="15" applyBorder="0">
      <alignment horizontal="center" vertical="center"/>
    </xf>
    <xf numFmtId="164" fontId="15" fillId="0" borderId="0" applyFont="0" applyFill="0" applyBorder="0" applyAlignment="0" applyProtection="0"/>
    <xf numFmtId="0" fontId="15" fillId="5" borderId="16" applyNumberFormat="0" applyFont="0" applyAlignment="0" applyProtection="0"/>
    <xf numFmtId="0" fontId="13" fillId="0" borderId="0"/>
    <xf numFmtId="0" fontId="11" fillId="4" borderId="5" applyAlignment="0">
      <alignment horizontal="center" vertical="center"/>
    </xf>
    <xf numFmtId="165" fontId="15" fillId="6" borderId="5">
      <alignment horizontal="right" vertical="center"/>
    </xf>
    <xf numFmtId="0" fontId="14" fillId="7" borderId="17" applyBorder="0" applyAlignment="0">
      <alignment horizontal="left" vertical="center" wrapText="1"/>
    </xf>
    <xf numFmtId="0" fontId="13" fillId="0" borderId="0"/>
    <xf numFmtId="0" fontId="5" fillId="5" borderId="16" applyNumberFormat="0" applyFont="0" applyAlignment="0" applyProtection="0"/>
    <xf numFmtId="165" fontId="25" fillId="3" borderId="15" applyBorder="0">
      <alignment horizontal="center" vertical="center"/>
    </xf>
    <xf numFmtId="164" fontId="24" fillId="0" borderId="0" applyFont="0" applyFill="0" applyBorder="0" applyAlignment="0" applyProtection="0"/>
    <xf numFmtId="0" fontId="24" fillId="5" borderId="16" applyNumberFormat="0" applyFont="0" applyAlignment="0" applyProtection="0"/>
    <xf numFmtId="0" fontId="26" fillId="0" borderId="0"/>
    <xf numFmtId="0" fontId="27" fillId="9" borderId="30" applyAlignment="0">
      <alignment horizontal="center" vertical="center"/>
    </xf>
    <xf numFmtId="165" fontId="24" fillId="6" borderId="30">
      <alignment horizontal="right" vertical="center"/>
    </xf>
    <xf numFmtId="0" fontId="28" fillId="10" borderId="17" applyBorder="0" applyAlignment="0">
      <alignment horizontal="left" vertical="center" wrapText="1"/>
    </xf>
    <xf numFmtId="0" fontId="26" fillId="0" borderId="0"/>
    <xf numFmtId="0" fontId="24" fillId="5" borderId="16" applyNumberFormat="0" applyFont="0" applyAlignment="0" applyProtection="0"/>
    <xf numFmtId="0" fontId="13" fillId="0" borderId="0"/>
    <xf numFmtId="0" fontId="4" fillId="5" borderId="16" applyNumberFormat="0" applyFont="0" applyAlignment="0" applyProtection="0"/>
    <xf numFmtId="164" fontId="4" fillId="0" borderId="0" applyFont="0" applyFill="0" applyBorder="0" applyAlignment="0" applyProtection="0"/>
    <xf numFmtId="0" fontId="3" fillId="0" borderId="0"/>
    <xf numFmtId="0" fontId="3" fillId="5" borderId="16" applyNumberFormat="0" applyFont="0" applyAlignment="0" applyProtection="0"/>
    <xf numFmtId="0" fontId="3" fillId="5" borderId="16" applyNumberFormat="0" applyFont="0" applyAlignment="0" applyProtection="0"/>
    <xf numFmtId="164" fontId="3" fillId="0" borderId="0" applyFont="0" applyFill="0" applyBorder="0" applyAlignment="0" applyProtection="0"/>
    <xf numFmtId="0" fontId="2" fillId="0" borderId="0"/>
    <xf numFmtId="0" fontId="1" fillId="0" borderId="0"/>
    <xf numFmtId="0" fontId="24" fillId="0" borderId="0"/>
    <xf numFmtId="164" fontId="1" fillId="0" borderId="0" applyFont="0" applyFill="0" applyBorder="0" applyAlignment="0" applyProtection="0"/>
    <xf numFmtId="0" fontId="1" fillId="5" borderId="16" applyNumberFormat="0" applyFont="0" applyAlignment="0" applyProtection="0"/>
    <xf numFmtId="0" fontId="11" fillId="4" borderId="31" applyAlignment="0">
      <alignment horizontal="center" vertical="center"/>
    </xf>
    <xf numFmtId="165" fontId="1" fillId="6" borderId="31">
      <alignment horizontal="right" vertical="center"/>
    </xf>
    <xf numFmtId="0" fontId="1" fillId="5" borderId="16" applyNumberFormat="0" applyFont="0" applyAlignment="0" applyProtection="0"/>
    <xf numFmtId="0" fontId="27" fillId="9" borderId="31" applyAlignment="0">
      <alignment horizontal="center" vertical="center"/>
    </xf>
    <xf numFmtId="165" fontId="24" fillId="6" borderId="31">
      <alignment horizontal="right" vertical="center"/>
    </xf>
    <xf numFmtId="0" fontId="1" fillId="5" borderId="16" applyNumberFormat="0" applyFont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5" borderId="16" applyNumberFormat="0" applyFont="0" applyAlignment="0" applyProtection="0"/>
    <xf numFmtId="0" fontId="1" fillId="5" borderId="16" applyNumberFormat="0" applyFont="0" applyAlignment="0" applyProtection="0"/>
    <xf numFmtId="164" fontId="1" fillId="0" borderId="0" applyFont="0" applyFill="0" applyBorder="0" applyAlignment="0" applyProtection="0"/>
    <xf numFmtId="0" fontId="1" fillId="0" borderId="0"/>
    <xf numFmtId="0" fontId="11" fillId="4" borderId="31" applyAlignment="0">
      <alignment horizontal="center" vertical="center"/>
    </xf>
    <xf numFmtId="165" fontId="1" fillId="6" borderId="31">
      <alignment horizontal="right" vertical="center"/>
    </xf>
    <xf numFmtId="0" fontId="11" fillId="4" borderId="31" applyAlignment="0">
      <alignment horizontal="center" vertical="center"/>
    </xf>
    <xf numFmtId="165" fontId="1" fillId="6" borderId="31">
      <alignment horizontal="right" vertical="center"/>
    </xf>
  </cellStyleXfs>
  <cellXfs count="351">
    <xf numFmtId="0" fontId="0" fillId="0" borderId="0" xfId="0"/>
    <xf numFmtId="0" fontId="6" fillId="0" borderId="0" xfId="0" applyFont="1" applyAlignment="1">
      <alignment horizontal="center" vertical="center"/>
    </xf>
    <xf numFmtId="0" fontId="7" fillId="0" borderId="0" xfId="8" applyFont="1" applyAlignment="1">
      <alignment vertical="center"/>
    </xf>
    <xf numFmtId="0" fontId="6" fillId="0" borderId="0" xfId="0" applyFont="1"/>
    <xf numFmtId="0" fontId="0" fillId="0" borderId="0" xfId="0" applyAlignment="1">
      <alignment wrapText="1"/>
    </xf>
    <xf numFmtId="166" fontId="0" fillId="0" borderId="0" xfId="0" applyNumberFormat="1"/>
    <xf numFmtId="2" fontId="0" fillId="0" borderId="0" xfId="0" applyNumberFormat="1"/>
    <xf numFmtId="167" fontId="0" fillId="0" borderId="0" xfId="0" applyNumberFormat="1"/>
    <xf numFmtId="164" fontId="0" fillId="0" borderId="0" xfId="0" applyNumberFormat="1"/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6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2" fontId="6" fillId="0" borderId="0" xfId="0" applyNumberFormat="1" applyFont="1" applyAlignment="1">
      <alignment horizontal="right" vertical="center"/>
    </xf>
    <xf numFmtId="167" fontId="6" fillId="0" borderId="0" xfId="0" applyNumberFormat="1" applyFont="1" applyAlignment="1">
      <alignment horizontal="right" vertical="center"/>
    </xf>
    <xf numFmtId="0" fontId="7" fillId="0" borderId="8" xfId="3" applyFont="1" applyFill="1" applyBorder="1" applyAlignment="1">
      <alignment horizontal="left" vertical="center" wrapText="1"/>
    </xf>
    <xf numFmtId="164" fontId="6" fillId="0" borderId="0" xfId="0" applyNumberFormat="1" applyFont="1" applyAlignment="1">
      <alignment horizontal="right" vertical="center"/>
    </xf>
    <xf numFmtId="169" fontId="7" fillId="0" borderId="7" xfId="3" applyNumberFormat="1" applyFont="1" applyFill="1" applyBorder="1" applyAlignment="1" applyProtection="1">
      <alignment horizontal="left" vertical="top"/>
    </xf>
    <xf numFmtId="0" fontId="6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justify" vertical="center" wrapText="1"/>
    </xf>
    <xf numFmtId="166" fontId="12" fillId="0" borderId="0" xfId="0" applyNumberFormat="1" applyFont="1" applyAlignment="1">
      <alignment horizontal="right" vertical="center"/>
    </xf>
    <xf numFmtId="9" fontId="0" fillId="0" borderId="0" xfId="0" applyNumberFormat="1" applyAlignment="1">
      <alignment horizontal="right" vertical="center"/>
    </xf>
    <xf numFmtId="2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167" fontId="12" fillId="0" borderId="0" xfId="0" applyNumberFormat="1" applyFont="1" applyAlignment="1">
      <alignment horizontal="right" vertical="center"/>
    </xf>
    <xf numFmtId="164" fontId="12" fillId="0" borderId="0" xfId="0" applyNumberFormat="1" applyFont="1" applyAlignment="1">
      <alignment horizontal="right" vertical="center"/>
    </xf>
    <xf numFmtId="165" fontId="0" fillId="0" borderId="0" xfId="0" applyNumberFormat="1" applyAlignment="1">
      <alignment horizontal="right" vertical="center"/>
    </xf>
    <xf numFmtId="164" fontId="7" fillId="0" borderId="18" xfId="3" applyNumberFormat="1" applyFont="1" applyFill="1" applyBorder="1" applyAlignment="1">
      <alignment horizontal="right" vertical="center"/>
    </xf>
    <xf numFmtId="169" fontId="7" fillId="0" borderId="18" xfId="3" applyNumberFormat="1" applyFont="1" applyFill="1" applyBorder="1" applyAlignment="1" applyProtection="1">
      <alignment horizontal="right" vertical="center"/>
    </xf>
    <xf numFmtId="169" fontId="7" fillId="0" borderId="19" xfId="3" applyNumberFormat="1" applyFont="1" applyFill="1" applyBorder="1" applyAlignment="1" applyProtection="1">
      <alignment horizontal="right" vertical="center"/>
    </xf>
    <xf numFmtId="169" fontId="7" fillId="0" borderId="20" xfId="3" applyNumberFormat="1" applyFont="1" applyFill="1" applyBorder="1" applyAlignment="1" applyProtection="1">
      <alignment horizontal="left" vertical="top"/>
    </xf>
    <xf numFmtId="0" fontId="6" fillId="0" borderId="21" xfId="0" applyFont="1" applyBorder="1" applyAlignment="1">
      <alignment horizontal="center" vertical="center"/>
    </xf>
    <xf numFmtId="0" fontId="7" fillId="0" borderId="7" xfId="3" applyNumberFormat="1" applyFont="1" applyFill="1" applyBorder="1" applyAlignment="1">
      <alignment horizontal="center" vertical="center" wrapText="1"/>
    </xf>
    <xf numFmtId="1" fontId="7" fillId="0" borderId="23" xfId="3" applyNumberFormat="1" applyFont="1" applyFill="1" applyBorder="1" applyAlignment="1">
      <alignment horizontal="center" vertical="top"/>
    </xf>
    <xf numFmtId="0" fontId="7" fillId="0" borderId="20" xfId="3" applyNumberFormat="1" applyFont="1" applyFill="1" applyBorder="1" applyAlignment="1">
      <alignment horizontal="center" vertical="center" wrapText="1"/>
    </xf>
    <xf numFmtId="0" fontId="7" fillId="0" borderId="18" xfId="3" applyFont="1" applyFill="1" applyBorder="1" applyAlignment="1">
      <alignment horizontal="left" vertical="center" wrapText="1"/>
    </xf>
    <xf numFmtId="166" fontId="7" fillId="0" borderId="18" xfId="3" applyNumberFormat="1" applyFont="1" applyFill="1" applyBorder="1" applyAlignment="1">
      <alignment horizontal="right" vertical="center"/>
    </xf>
    <xf numFmtId="9" fontId="7" fillId="0" borderId="18" xfId="3" applyNumberFormat="1" applyFont="1" applyFill="1" applyBorder="1" applyAlignment="1">
      <alignment horizontal="right" vertical="center"/>
    </xf>
    <xf numFmtId="0" fontId="7" fillId="0" borderId="18" xfId="3" applyNumberFormat="1" applyFont="1" applyFill="1" applyBorder="1" applyAlignment="1">
      <alignment horizontal="right" vertical="center"/>
    </xf>
    <xf numFmtId="170" fontId="7" fillId="0" borderId="18" xfId="3" applyNumberFormat="1" applyFont="1" applyFill="1" applyBorder="1" applyAlignment="1">
      <alignment horizontal="right" vertical="center"/>
    </xf>
    <xf numFmtId="164" fontId="7" fillId="0" borderId="18" xfId="2" applyFont="1" applyFill="1" applyBorder="1" applyAlignment="1">
      <alignment horizontal="right" vertical="center"/>
    </xf>
    <xf numFmtId="0" fontId="7" fillId="8" borderId="0" xfId="8" applyFont="1" applyFill="1" applyAlignment="1">
      <alignment vertical="center"/>
    </xf>
    <xf numFmtId="0" fontId="0" fillId="8" borderId="0" xfId="0" applyFill="1"/>
    <xf numFmtId="0" fontId="6" fillId="8" borderId="0" xfId="0" applyFont="1" applyFill="1" applyAlignment="1">
      <alignment horizontal="center" vertical="center"/>
    </xf>
    <xf numFmtId="164" fontId="16" fillId="0" borderId="8" xfId="3" applyNumberFormat="1" applyFont="1" applyFill="1" applyBorder="1" applyAlignment="1">
      <alignment horizontal="right" vertical="center"/>
    </xf>
    <xf numFmtId="9" fontId="16" fillId="0" borderId="8" xfId="3" applyNumberFormat="1" applyFont="1" applyFill="1" applyBorder="1" applyAlignment="1">
      <alignment horizontal="right" vertical="center"/>
    </xf>
    <xf numFmtId="170" fontId="16" fillId="0" borderId="8" xfId="3" applyNumberFormat="1" applyFont="1" applyFill="1" applyBorder="1" applyAlignment="1">
      <alignment horizontal="right" vertical="center"/>
    </xf>
    <xf numFmtId="166" fontId="17" fillId="2" borderId="5" xfId="0" applyNumberFormat="1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2" fontId="17" fillId="2" borderId="5" xfId="0" applyNumberFormat="1" applyFont="1" applyFill="1" applyBorder="1" applyAlignment="1">
      <alignment horizontal="center" vertical="center"/>
    </xf>
    <xf numFmtId="167" fontId="17" fillId="2" borderId="5" xfId="0" applyNumberFormat="1" applyFont="1" applyFill="1" applyBorder="1" applyAlignment="1">
      <alignment horizontal="center" vertical="center"/>
    </xf>
    <xf numFmtId="167" fontId="17" fillId="2" borderId="5" xfId="0" applyNumberFormat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8" fontId="17" fillId="2" borderId="9" xfId="0" applyNumberFormat="1" applyFont="1" applyFill="1" applyBorder="1" applyAlignment="1">
      <alignment horizontal="center" vertical="center"/>
    </xf>
    <xf numFmtId="166" fontId="16" fillId="0" borderId="8" xfId="3" applyNumberFormat="1" applyFont="1" applyFill="1" applyBorder="1" applyAlignment="1">
      <alignment horizontal="right" vertical="center"/>
    </xf>
    <xf numFmtId="0" fontId="16" fillId="0" borderId="8" xfId="3" applyNumberFormat="1" applyFont="1" applyFill="1" applyBorder="1" applyAlignment="1">
      <alignment horizontal="right" vertical="center"/>
    </xf>
    <xf numFmtId="170" fontId="16" fillId="0" borderId="8" xfId="2" applyNumberFormat="1" applyFont="1" applyFill="1" applyBorder="1" applyAlignment="1">
      <alignment horizontal="right" vertical="center"/>
    </xf>
    <xf numFmtId="169" fontId="16" fillId="0" borderId="8" xfId="3" applyNumberFormat="1" applyFont="1" applyFill="1" applyBorder="1" applyAlignment="1" applyProtection="1">
      <alignment horizontal="right" vertical="center"/>
    </xf>
    <xf numFmtId="169" fontId="16" fillId="0" borderId="10" xfId="3" applyNumberFormat="1" applyFont="1" applyFill="1" applyBorder="1" applyAlignment="1" applyProtection="1">
      <alignment horizontal="right" vertical="center"/>
    </xf>
    <xf numFmtId="0" fontId="17" fillId="2" borderId="5" xfId="0" applyFont="1" applyFill="1" applyBorder="1" applyAlignment="1">
      <alignment horizontal="left" vertical="center" wrapText="1"/>
    </xf>
    <xf numFmtId="0" fontId="16" fillId="0" borderId="8" xfId="3" applyFont="1" applyFill="1" applyBorder="1" applyAlignment="1">
      <alignment horizontal="left" vertical="center" wrapText="1"/>
    </xf>
    <xf numFmtId="1" fontId="16" fillId="0" borderId="6" xfId="3" applyNumberFormat="1" applyFont="1" applyFill="1" applyBorder="1" applyAlignment="1">
      <alignment horizontal="center" vertical="top"/>
    </xf>
    <xf numFmtId="164" fontId="16" fillId="0" borderId="8" xfId="2" applyFont="1" applyFill="1" applyBorder="1" applyAlignment="1">
      <alignment horizontal="right" vertical="center"/>
    </xf>
    <xf numFmtId="9" fontId="22" fillId="2" borderId="13" xfId="0" applyNumberFormat="1" applyFont="1" applyFill="1" applyBorder="1" applyAlignment="1">
      <alignment vertical="top"/>
    </xf>
    <xf numFmtId="166" fontId="7" fillId="0" borderId="8" xfId="9" applyNumberFormat="1" applyFont="1" applyFill="1" applyBorder="1" applyAlignment="1">
      <alignment horizontal="right" vertical="center"/>
    </xf>
    <xf numFmtId="9" fontId="7" fillId="0" borderId="8" xfId="9" applyNumberFormat="1" applyFont="1" applyFill="1" applyBorder="1" applyAlignment="1">
      <alignment horizontal="right" vertical="center"/>
    </xf>
    <xf numFmtId="0" fontId="7" fillId="0" borderId="8" xfId="9" applyNumberFormat="1" applyFont="1" applyFill="1" applyBorder="1" applyAlignment="1">
      <alignment horizontal="right" vertical="center"/>
    </xf>
    <xf numFmtId="0" fontId="21" fillId="0" borderId="1" xfId="3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171" fontId="16" fillId="0" borderId="8" xfId="2" applyNumberFormat="1" applyFont="1" applyFill="1" applyBorder="1" applyAlignment="1">
      <alignment horizontal="center" vertical="center"/>
    </xf>
    <xf numFmtId="2" fontId="16" fillId="0" borderId="8" xfId="9" applyNumberFormat="1" applyFont="1" applyFill="1" applyBorder="1" applyAlignment="1">
      <alignment horizontal="center" vertical="center"/>
    </xf>
    <xf numFmtId="169" fontId="16" fillId="0" borderId="8" xfId="9" applyNumberFormat="1" applyFont="1" applyFill="1" applyBorder="1" applyAlignment="1" applyProtection="1">
      <alignment horizontal="right" vertical="center"/>
    </xf>
    <xf numFmtId="0" fontId="16" fillId="0" borderId="7" xfId="3" applyNumberFormat="1" applyFont="1" applyFill="1" applyBorder="1" applyAlignment="1">
      <alignment horizontal="center" vertical="center" wrapText="1"/>
    </xf>
    <xf numFmtId="0" fontId="23" fillId="0" borderId="8" xfId="3" applyFont="1" applyFill="1" applyBorder="1" applyAlignment="1">
      <alignment horizontal="left" vertical="center" wrapText="1"/>
    </xf>
    <xf numFmtId="0" fontId="16" fillId="0" borderId="0" xfId="8" applyFont="1" applyAlignment="1">
      <alignment vertical="center"/>
    </xf>
    <xf numFmtId="0" fontId="16" fillId="8" borderId="0" xfId="8" applyFont="1" applyFill="1" applyAlignment="1">
      <alignment vertical="center"/>
    </xf>
    <xf numFmtId="0" fontId="16" fillId="0" borderId="27" xfId="3" applyFont="1" applyFill="1" applyBorder="1" applyAlignment="1">
      <alignment horizontal="left" vertical="center" wrapText="1"/>
    </xf>
    <xf numFmtId="166" fontId="16" fillId="0" borderId="27" xfId="3" applyNumberFormat="1" applyFont="1" applyFill="1" applyBorder="1" applyAlignment="1">
      <alignment horizontal="right" vertical="center"/>
    </xf>
    <xf numFmtId="9" fontId="16" fillId="0" borderId="27" xfId="3" applyNumberFormat="1" applyFont="1" applyFill="1" applyBorder="1" applyAlignment="1">
      <alignment horizontal="right" vertical="center"/>
    </xf>
    <xf numFmtId="0" fontId="16" fillId="0" borderId="27" xfId="3" applyNumberFormat="1" applyFont="1" applyFill="1" applyBorder="1" applyAlignment="1">
      <alignment horizontal="right" vertical="center"/>
    </xf>
    <xf numFmtId="0" fontId="3" fillId="0" borderId="0" xfId="22"/>
    <xf numFmtId="0" fontId="3" fillId="8" borderId="0" xfId="22" applyFill="1"/>
    <xf numFmtId="0" fontId="9" fillId="0" borderId="0" xfId="22" applyFont="1" applyAlignment="1">
      <alignment horizontal="left" vertical="center"/>
    </xf>
    <xf numFmtId="14" fontId="10" fillId="0" borderId="0" xfId="22" applyNumberFormat="1" applyFont="1" applyAlignment="1">
      <alignment horizontal="left" vertical="center" wrapText="1"/>
    </xf>
    <xf numFmtId="0" fontId="10" fillId="0" borderId="0" xfId="22" applyFont="1" applyAlignment="1">
      <alignment horizontal="left" vertical="center" wrapText="1"/>
    </xf>
    <xf numFmtId="0" fontId="6" fillId="0" borderId="0" xfId="22" applyFont="1" applyAlignment="1">
      <alignment horizontal="center" vertical="center"/>
    </xf>
    <xf numFmtId="0" fontId="6" fillId="0" borderId="0" xfId="22" applyFont="1" applyAlignment="1">
      <alignment horizontal="center" vertical="center" wrapText="1"/>
    </xf>
    <xf numFmtId="0" fontId="6" fillId="0" borderId="11" xfId="22" applyFont="1" applyBorder="1" applyAlignment="1">
      <alignment horizontal="center" vertical="center"/>
    </xf>
    <xf numFmtId="0" fontId="6" fillId="8" borderId="0" xfId="22" applyFont="1" applyFill="1" applyAlignment="1">
      <alignment horizontal="center" vertical="center"/>
    </xf>
    <xf numFmtId="0" fontId="30" fillId="0" borderId="11" xfId="22" applyFont="1" applyBorder="1" applyAlignment="1">
      <alignment horizontal="center" vertical="center"/>
    </xf>
    <xf numFmtId="0" fontId="6" fillId="0" borderId="4" xfId="22" applyFont="1" applyBorder="1" applyAlignment="1">
      <alignment horizontal="center" vertical="center"/>
    </xf>
    <xf numFmtId="166" fontId="17" fillId="2" borderId="31" xfId="22" applyNumberFormat="1" applyFont="1" applyFill="1" applyBorder="1" applyAlignment="1">
      <alignment horizontal="center" vertical="center"/>
    </xf>
    <xf numFmtId="0" fontId="17" fillId="2" borderId="31" xfId="22" applyFont="1" applyFill="1" applyBorder="1" applyAlignment="1">
      <alignment horizontal="center" vertical="center"/>
    </xf>
    <xf numFmtId="2" fontId="17" fillId="2" borderId="31" xfId="22" applyNumberFormat="1" applyFont="1" applyFill="1" applyBorder="1" applyAlignment="1">
      <alignment horizontal="center" vertical="center"/>
    </xf>
    <xf numFmtId="167" fontId="17" fillId="2" borderId="31" xfId="22" applyNumberFormat="1" applyFont="1" applyFill="1" applyBorder="1" applyAlignment="1">
      <alignment horizontal="center" vertical="center"/>
    </xf>
    <xf numFmtId="167" fontId="17" fillId="2" borderId="31" xfId="22" applyNumberFormat="1" applyFont="1" applyFill="1" applyBorder="1" applyAlignment="1">
      <alignment horizontal="center" vertical="center" wrapText="1"/>
    </xf>
    <xf numFmtId="0" fontId="17" fillId="2" borderId="31" xfId="22" applyFont="1" applyFill="1" applyBorder="1" applyAlignment="1">
      <alignment horizontal="center" vertical="center" wrapText="1"/>
    </xf>
    <xf numFmtId="0" fontId="17" fillId="2" borderId="2" xfId="22" applyFont="1" applyFill="1" applyBorder="1" applyAlignment="1">
      <alignment horizontal="center" vertical="center"/>
    </xf>
    <xf numFmtId="0" fontId="17" fillId="2" borderId="9" xfId="22" applyFont="1" applyFill="1" applyBorder="1" applyAlignment="1">
      <alignment horizontal="center" vertical="center"/>
    </xf>
    <xf numFmtId="0" fontId="7" fillId="0" borderId="0" xfId="19" applyFont="1" applyAlignment="1">
      <alignment vertical="center"/>
    </xf>
    <xf numFmtId="166" fontId="6" fillId="0" borderId="0" xfId="22" applyNumberFormat="1" applyFont="1" applyAlignment="1">
      <alignment horizontal="right" vertical="center"/>
    </xf>
    <xf numFmtId="2" fontId="6" fillId="0" borderId="0" xfId="22" applyNumberFormat="1" applyFont="1" applyAlignment="1">
      <alignment horizontal="right" vertical="center"/>
    </xf>
    <xf numFmtId="0" fontId="6" fillId="0" borderId="0" xfId="22" applyFont="1" applyAlignment="1">
      <alignment horizontal="right" vertical="center"/>
    </xf>
    <xf numFmtId="167" fontId="6" fillId="0" borderId="0" xfId="22" applyNumberFormat="1" applyFont="1" applyAlignment="1">
      <alignment horizontal="right" vertical="center"/>
    </xf>
    <xf numFmtId="164" fontId="6" fillId="0" borderId="0" xfId="22" applyNumberFormat="1" applyFont="1" applyAlignment="1">
      <alignment horizontal="right" vertical="center"/>
    </xf>
    <xf numFmtId="0" fontId="7" fillId="8" borderId="0" xfId="19" applyFont="1" applyFill="1" applyAlignment="1">
      <alignment vertical="center"/>
    </xf>
    <xf numFmtId="168" fontId="17" fillId="2" borderId="9" xfId="22" applyNumberFormat="1" applyFont="1" applyFill="1" applyBorder="1" applyAlignment="1">
      <alignment horizontal="center" vertical="center"/>
    </xf>
    <xf numFmtId="1" fontId="16" fillId="0" borderId="6" xfId="23" applyNumberFormat="1" applyFont="1" applyFill="1" applyBorder="1" applyAlignment="1">
      <alignment horizontal="center" vertical="top"/>
    </xf>
    <xf numFmtId="0" fontId="7" fillId="0" borderId="42" xfId="23" applyNumberFormat="1" applyFont="1" applyFill="1" applyBorder="1" applyAlignment="1">
      <alignment horizontal="center" vertical="center" wrapText="1"/>
    </xf>
    <xf numFmtId="166" fontId="7" fillId="0" borderId="32" xfId="24" applyNumberFormat="1" applyFont="1" applyFill="1" applyBorder="1" applyAlignment="1">
      <alignment horizontal="right" vertical="center"/>
    </xf>
    <xf numFmtId="0" fontId="7" fillId="0" borderId="32" xfId="24" applyNumberFormat="1" applyFont="1" applyFill="1" applyBorder="1" applyAlignment="1">
      <alignment horizontal="right" vertical="center"/>
    </xf>
    <xf numFmtId="164" fontId="16" fillId="0" borderId="32" xfId="23" applyNumberFormat="1" applyFont="1" applyFill="1" applyBorder="1" applyAlignment="1">
      <alignment horizontal="right" vertical="center"/>
    </xf>
    <xf numFmtId="170" fontId="16" fillId="0" borderId="32" xfId="23" applyNumberFormat="1" applyFont="1" applyFill="1" applyBorder="1" applyAlignment="1">
      <alignment horizontal="right" vertical="center"/>
    </xf>
    <xf numFmtId="164" fontId="16" fillId="0" borderId="32" xfId="25" applyFont="1" applyFill="1" applyBorder="1" applyAlignment="1">
      <alignment horizontal="right" vertical="center"/>
    </xf>
    <xf numFmtId="169" fontId="16" fillId="0" borderId="32" xfId="23" applyNumberFormat="1" applyFont="1" applyFill="1" applyBorder="1" applyAlignment="1" applyProtection="1">
      <alignment horizontal="right" vertical="center"/>
    </xf>
    <xf numFmtId="169" fontId="16" fillId="0" borderId="28" xfId="23" applyNumberFormat="1" applyFont="1" applyFill="1" applyBorder="1" applyAlignment="1" applyProtection="1">
      <alignment horizontal="right" vertical="center"/>
    </xf>
    <xf numFmtId="169" fontId="7" fillId="0" borderId="29" xfId="23" applyNumberFormat="1" applyFont="1" applyFill="1" applyBorder="1" applyAlignment="1" applyProtection="1">
      <alignment horizontal="left" vertical="top"/>
    </xf>
    <xf numFmtId="0" fontId="7" fillId="0" borderId="29" xfId="23" applyNumberFormat="1" applyFont="1" applyFill="1" applyBorder="1" applyAlignment="1">
      <alignment horizontal="center" vertical="center" wrapText="1"/>
    </xf>
    <xf numFmtId="0" fontId="17" fillId="2" borderId="31" xfId="22" applyFont="1" applyFill="1" applyBorder="1" applyAlignment="1">
      <alignment horizontal="left" vertical="center" wrapText="1"/>
    </xf>
    <xf numFmtId="0" fontId="31" fillId="0" borderId="32" xfId="23" applyFont="1" applyFill="1" applyBorder="1" applyAlignment="1">
      <alignment horizontal="left" vertical="center" wrapText="1"/>
    </xf>
    <xf numFmtId="166" fontId="16" fillId="0" borderId="32" xfId="23" applyNumberFormat="1" applyFont="1" applyFill="1" applyBorder="1" applyAlignment="1">
      <alignment horizontal="right" vertical="center"/>
    </xf>
    <xf numFmtId="0" fontId="16" fillId="0" borderId="32" xfId="23" applyNumberFormat="1" applyFont="1" applyFill="1" applyBorder="1" applyAlignment="1">
      <alignment horizontal="right" vertical="center"/>
    </xf>
    <xf numFmtId="169" fontId="32" fillId="0" borderId="28" xfId="23" applyNumberFormat="1" applyFont="1" applyFill="1" applyBorder="1" applyAlignment="1" applyProtection="1">
      <alignment horizontal="right" vertical="center"/>
    </xf>
    <xf numFmtId="172" fontId="32" fillId="0" borderId="29" xfId="23" applyNumberFormat="1" applyFont="1" applyFill="1" applyBorder="1" applyAlignment="1" applyProtection="1">
      <alignment horizontal="left" vertical="top"/>
    </xf>
    <xf numFmtId="167" fontId="16" fillId="0" borderId="32" xfId="25" applyNumberFormat="1" applyFont="1" applyFill="1" applyBorder="1" applyAlignment="1">
      <alignment horizontal="right" vertical="center"/>
    </xf>
    <xf numFmtId="164" fontId="32" fillId="0" borderId="29" xfId="23" applyNumberFormat="1" applyFont="1" applyFill="1" applyBorder="1" applyAlignment="1" applyProtection="1">
      <alignment horizontal="left" vertical="top"/>
    </xf>
    <xf numFmtId="170" fontId="16" fillId="0" borderId="32" xfId="25" applyNumberFormat="1" applyFont="1" applyFill="1" applyBorder="1" applyAlignment="1">
      <alignment horizontal="right" vertical="center"/>
    </xf>
    <xf numFmtId="0" fontId="7" fillId="0" borderId="22" xfId="23" applyNumberFormat="1" applyFont="1" applyFill="1" applyBorder="1" applyAlignment="1">
      <alignment horizontal="center" vertical="center" wrapText="1"/>
    </xf>
    <xf numFmtId="1" fontId="7" fillId="0" borderId="23" xfId="23" applyNumberFormat="1" applyFont="1" applyFill="1" applyBorder="1" applyAlignment="1">
      <alignment horizontal="center" vertical="top"/>
    </xf>
    <xf numFmtId="0" fontId="7" fillId="0" borderId="20" xfId="23" applyNumberFormat="1" applyFont="1" applyFill="1" applyBorder="1" applyAlignment="1">
      <alignment horizontal="center" vertical="center" wrapText="1"/>
    </xf>
    <xf numFmtId="0" fontId="7" fillId="0" borderId="18" xfId="23" applyFont="1" applyFill="1" applyBorder="1" applyAlignment="1">
      <alignment horizontal="left" vertical="center" wrapText="1"/>
    </xf>
    <xf numFmtId="166" fontId="7" fillId="0" borderId="18" xfId="23" applyNumberFormat="1" applyFont="1" applyFill="1" applyBorder="1" applyAlignment="1">
      <alignment horizontal="right" vertical="center"/>
    </xf>
    <xf numFmtId="0" fontId="7" fillId="0" borderId="18" xfId="23" applyNumberFormat="1" applyFont="1" applyFill="1" applyBorder="1" applyAlignment="1">
      <alignment horizontal="right" vertical="center"/>
    </xf>
    <xf numFmtId="164" fontId="7" fillId="0" borderId="18" xfId="23" applyNumberFormat="1" applyFont="1" applyFill="1" applyBorder="1" applyAlignment="1">
      <alignment horizontal="right" vertical="center"/>
    </xf>
    <xf numFmtId="170" fontId="7" fillId="0" borderId="18" xfId="23" applyNumberFormat="1" applyFont="1" applyFill="1" applyBorder="1" applyAlignment="1">
      <alignment horizontal="right" vertical="center"/>
    </xf>
    <xf numFmtId="164" fontId="7" fillId="0" borderId="18" xfId="25" applyFont="1" applyFill="1" applyBorder="1" applyAlignment="1">
      <alignment horizontal="right" vertical="center"/>
    </xf>
    <xf numFmtId="169" fontId="7" fillId="0" borderId="18" xfId="23" applyNumberFormat="1" applyFont="1" applyFill="1" applyBorder="1" applyAlignment="1" applyProtection="1">
      <alignment horizontal="right" vertical="center"/>
    </xf>
    <xf numFmtId="169" fontId="7" fillId="0" borderId="19" xfId="23" applyNumberFormat="1" applyFont="1" applyFill="1" applyBorder="1" applyAlignment="1" applyProtection="1">
      <alignment horizontal="right" vertical="center"/>
    </xf>
    <xf numFmtId="169" fontId="7" fillId="0" borderId="20" xfId="23" applyNumberFormat="1" applyFont="1" applyFill="1" applyBorder="1" applyAlignment="1" applyProtection="1">
      <alignment horizontal="left" vertical="top"/>
    </xf>
    <xf numFmtId="0" fontId="6" fillId="0" borderId="43" xfId="22" applyFont="1" applyBorder="1" applyAlignment="1">
      <alignment horizontal="center" vertical="center"/>
    </xf>
    <xf numFmtId="167" fontId="6" fillId="0" borderId="0" xfId="22" applyNumberFormat="1" applyFont="1" applyAlignment="1">
      <alignment horizontal="center" vertical="center"/>
    </xf>
    <xf numFmtId="0" fontId="17" fillId="2" borderId="12" xfId="22" applyFont="1" applyFill="1" applyBorder="1" applyAlignment="1">
      <alignment horizontal="left" vertical="top"/>
    </xf>
    <xf numFmtId="0" fontId="17" fillId="2" borderId="13" xfId="22" applyFont="1" applyFill="1" applyBorder="1" applyAlignment="1">
      <alignment vertical="top"/>
    </xf>
    <xf numFmtId="0" fontId="22" fillId="2" borderId="13" xfId="22" applyFont="1" applyFill="1" applyBorder="1" applyAlignment="1">
      <alignment vertical="top"/>
    </xf>
    <xf numFmtId="9" fontId="22" fillId="2" borderId="13" xfId="22" applyNumberFormat="1" applyFont="1" applyFill="1" applyBorder="1" applyAlignment="1">
      <alignment vertical="top"/>
    </xf>
    <xf numFmtId="170" fontId="17" fillId="2" borderId="14" xfId="25" applyNumberFormat="1" applyFont="1" applyFill="1" applyBorder="1" applyAlignment="1">
      <alignment vertical="top"/>
    </xf>
    <xf numFmtId="165" fontId="7" fillId="0" borderId="0" xfId="19" applyNumberFormat="1" applyFont="1" applyAlignment="1">
      <alignment vertical="center"/>
    </xf>
    <xf numFmtId="9" fontId="17" fillId="2" borderId="13" xfId="22" applyNumberFormat="1" applyFont="1" applyFill="1" applyBorder="1" applyAlignment="1">
      <alignment horizontal="center" vertical="top"/>
    </xf>
    <xf numFmtId="164" fontId="7" fillId="0" borderId="0" xfId="19" applyNumberFormat="1" applyFont="1" applyAlignment="1">
      <alignment vertical="center"/>
    </xf>
    <xf numFmtId="0" fontId="6" fillId="0" borderId="0" xfId="22" applyFont="1"/>
    <xf numFmtId="0" fontId="12" fillId="0" borderId="0" xfId="22" applyFont="1" applyAlignment="1">
      <alignment horizontal="justify" vertical="center" wrapText="1"/>
    </xf>
    <xf numFmtId="166" fontId="12" fillId="0" borderId="0" xfId="22" applyNumberFormat="1" applyFont="1" applyAlignment="1">
      <alignment horizontal="right" vertical="center"/>
    </xf>
    <xf numFmtId="2" fontId="12" fillId="0" borderId="0" xfId="22" applyNumberFormat="1" applyFont="1" applyAlignment="1">
      <alignment horizontal="right" vertical="center"/>
    </xf>
    <xf numFmtId="0" fontId="12" fillId="0" borderId="0" xfId="22" applyFont="1" applyAlignment="1">
      <alignment horizontal="right" vertical="center"/>
    </xf>
    <xf numFmtId="167" fontId="12" fillId="0" borderId="0" xfId="22" applyNumberFormat="1" applyFont="1" applyAlignment="1">
      <alignment horizontal="right" vertical="center"/>
    </xf>
    <xf numFmtId="164" fontId="12" fillId="0" borderId="0" xfId="22" applyNumberFormat="1" applyFont="1" applyAlignment="1">
      <alignment horizontal="right" vertical="center"/>
    </xf>
    <xf numFmtId="165" fontId="3" fillId="0" borderId="0" xfId="22" applyNumberFormat="1" applyAlignment="1">
      <alignment horizontal="right" vertical="center"/>
    </xf>
    <xf numFmtId="0" fontId="3" fillId="0" borderId="0" xfId="22" applyAlignment="1">
      <alignment wrapText="1"/>
    </xf>
    <xf numFmtId="166" fontId="3" fillId="0" borderId="0" xfId="22" applyNumberFormat="1"/>
    <xf numFmtId="2" fontId="3" fillId="0" borderId="0" xfId="22" applyNumberFormat="1"/>
    <xf numFmtId="167" fontId="3" fillId="0" borderId="0" xfId="22" applyNumberFormat="1"/>
    <xf numFmtId="164" fontId="3" fillId="0" borderId="0" xfId="22" applyNumberFormat="1"/>
    <xf numFmtId="0" fontId="33" fillId="0" borderId="35" xfId="0" applyFont="1" applyBorder="1" applyAlignment="1">
      <alignment horizontal="center" vertical="center"/>
    </xf>
    <xf numFmtId="167" fontId="33" fillId="0" borderId="35" xfId="0" applyNumberFormat="1" applyFont="1" applyBorder="1" applyAlignment="1">
      <alignment horizontal="center" vertical="center"/>
    </xf>
    <xf numFmtId="168" fontId="17" fillId="2" borderId="21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167" fontId="33" fillId="0" borderId="0" xfId="0" applyNumberFormat="1" applyFont="1" applyAlignment="1">
      <alignment horizontal="center" vertical="center"/>
    </xf>
    <xf numFmtId="173" fontId="34" fillId="0" borderId="47" xfId="0" applyNumberFormat="1" applyFont="1" applyBorder="1" applyAlignment="1">
      <alignment vertical="top"/>
    </xf>
    <xf numFmtId="173" fontId="34" fillId="0" borderId="0" xfId="0" applyNumberFormat="1" applyFont="1" applyAlignment="1">
      <alignment vertical="top"/>
    </xf>
    <xf numFmtId="173" fontId="34" fillId="0" borderId="48" xfId="0" applyNumberFormat="1" applyFont="1" applyBorder="1" applyAlignment="1">
      <alignment vertical="top"/>
    </xf>
    <xf numFmtId="0" fontId="35" fillId="0" borderId="0" xfId="0" applyFont="1" applyAlignment="1">
      <alignment vertical="top"/>
    </xf>
    <xf numFmtId="167" fontId="35" fillId="0" borderId="0" xfId="0" applyNumberFormat="1" applyFont="1" applyAlignment="1">
      <alignment vertical="top"/>
    </xf>
    <xf numFmtId="0" fontId="35" fillId="0" borderId="0" xfId="8" applyFont="1" applyAlignment="1">
      <alignment vertical="center"/>
    </xf>
    <xf numFmtId="0" fontId="36" fillId="0" borderId="0" xfId="0" applyFont="1"/>
    <xf numFmtId="0" fontId="36" fillId="0" borderId="0" xfId="0" applyFont="1" applyAlignment="1">
      <alignment horizontal="left"/>
    </xf>
    <xf numFmtId="9" fontId="35" fillId="0" borderId="0" xfId="0" applyNumberFormat="1" applyFont="1" applyAlignment="1">
      <alignment vertical="top"/>
    </xf>
    <xf numFmtId="9" fontId="35" fillId="0" borderId="33" xfId="0" applyNumberFormat="1" applyFont="1" applyBorder="1" applyAlignment="1">
      <alignment vertical="top"/>
    </xf>
    <xf numFmtId="173" fontId="34" fillId="0" borderId="53" xfId="0" applyNumberFormat="1" applyFont="1" applyBorder="1" applyAlignment="1">
      <alignment vertical="top"/>
    </xf>
    <xf numFmtId="0" fontId="36" fillId="0" borderId="4" xfId="0" applyFont="1" applyBorder="1"/>
    <xf numFmtId="0" fontId="34" fillId="0" borderId="0" xfId="0" applyFont="1" applyAlignment="1">
      <alignment vertical="top"/>
    </xf>
    <xf numFmtId="173" fontId="34" fillId="0" borderId="55" xfId="0" applyNumberFormat="1" applyFont="1" applyBorder="1" applyAlignment="1">
      <alignment vertical="top"/>
    </xf>
    <xf numFmtId="0" fontId="33" fillId="0" borderId="4" xfId="0" applyFont="1" applyBorder="1" applyAlignment="1">
      <alignment horizontal="center" vertical="center"/>
    </xf>
    <xf numFmtId="0" fontId="33" fillId="0" borderId="0" xfId="0" applyFont="1"/>
    <xf numFmtId="0" fontId="37" fillId="0" borderId="0" xfId="0" applyFont="1" applyAlignment="1">
      <alignment horizontal="justify" vertical="center" wrapText="1"/>
    </xf>
    <xf numFmtId="174" fontId="17" fillId="2" borderId="59" xfId="0" applyNumberFormat="1" applyFont="1" applyFill="1" applyBorder="1" applyAlignment="1">
      <alignment vertical="top"/>
    </xf>
    <xf numFmtId="166" fontId="16" fillId="0" borderId="32" xfId="3" applyNumberFormat="1" applyFont="1" applyFill="1" applyBorder="1" applyAlignment="1">
      <alignment horizontal="right" vertical="center"/>
    </xf>
    <xf numFmtId="9" fontId="16" fillId="0" borderId="32" xfId="3" applyNumberFormat="1" applyFont="1" applyFill="1" applyBorder="1" applyAlignment="1">
      <alignment horizontal="right" vertical="center"/>
    </xf>
    <xf numFmtId="0" fontId="16" fillId="0" borderId="32" xfId="3" applyNumberFormat="1" applyFont="1" applyFill="1" applyBorder="1" applyAlignment="1">
      <alignment horizontal="right" vertical="center"/>
    </xf>
    <xf numFmtId="164" fontId="16" fillId="0" borderId="32" xfId="3" applyNumberFormat="1" applyFont="1" applyFill="1" applyBorder="1" applyAlignment="1">
      <alignment horizontal="right" vertical="center"/>
    </xf>
    <xf numFmtId="170" fontId="16" fillId="0" borderId="32" xfId="3" applyNumberFormat="1" applyFont="1" applyFill="1" applyBorder="1" applyAlignment="1">
      <alignment horizontal="right" vertical="center"/>
    </xf>
    <xf numFmtId="171" fontId="16" fillId="0" borderId="32" xfId="2" applyNumberFormat="1" applyFont="1" applyFill="1" applyBorder="1" applyAlignment="1">
      <alignment horizontal="center" vertical="center"/>
    </xf>
    <xf numFmtId="2" fontId="16" fillId="0" borderId="32" xfId="9" applyNumberFormat="1" applyFont="1" applyFill="1" applyBorder="1" applyAlignment="1">
      <alignment horizontal="center" vertical="center"/>
    </xf>
    <xf numFmtId="164" fontId="16" fillId="0" borderId="32" xfId="2" applyFont="1" applyFill="1" applyBorder="1" applyAlignment="1">
      <alignment horizontal="right" vertical="center"/>
    </xf>
    <xf numFmtId="169" fontId="16" fillId="0" borderId="32" xfId="9" applyNumberFormat="1" applyFont="1" applyFill="1" applyBorder="1" applyAlignment="1" applyProtection="1">
      <alignment horizontal="right" vertical="center"/>
    </xf>
    <xf numFmtId="169" fontId="16" fillId="0" borderId="28" xfId="3" applyNumberFormat="1" applyFont="1" applyFill="1" applyBorder="1" applyAlignment="1" applyProtection="1">
      <alignment horizontal="right" vertical="center"/>
    </xf>
    <xf numFmtId="169" fontId="7" fillId="0" borderId="29" xfId="3" applyNumberFormat="1" applyFont="1" applyFill="1" applyBorder="1" applyAlignment="1" applyProtection="1">
      <alignment horizontal="left" vertical="top"/>
    </xf>
    <xf numFmtId="1" fontId="16" fillId="0" borderId="6" xfId="40" applyNumberFormat="1" applyFont="1" applyFill="1" applyBorder="1" applyAlignment="1">
      <alignment horizontal="center" vertical="top"/>
    </xf>
    <xf numFmtId="169" fontId="7" fillId="0" borderId="29" xfId="40" applyNumberFormat="1" applyFont="1" applyFill="1" applyBorder="1" applyAlignment="1" applyProtection="1">
      <alignment horizontal="left" vertical="top"/>
    </xf>
    <xf numFmtId="170" fontId="16" fillId="0" borderId="32" xfId="40" applyNumberFormat="1" applyFont="1" applyFill="1" applyBorder="1" applyAlignment="1">
      <alignment horizontal="right" vertical="center"/>
    </xf>
    <xf numFmtId="170" fontId="16" fillId="0" borderId="32" xfId="41" applyNumberFormat="1" applyFont="1" applyFill="1" applyBorder="1" applyAlignment="1">
      <alignment horizontal="right" vertical="center"/>
    </xf>
    <xf numFmtId="0" fontId="17" fillId="2" borderId="33" xfId="0" applyFont="1" applyFill="1" applyBorder="1" applyAlignment="1">
      <alignment horizontal="left" vertical="center" wrapText="1"/>
    </xf>
    <xf numFmtId="9" fontId="16" fillId="0" borderId="32" xfId="40" applyNumberFormat="1" applyFont="1" applyFill="1" applyBorder="1" applyAlignment="1">
      <alignment horizontal="right" vertical="center"/>
    </xf>
    <xf numFmtId="171" fontId="16" fillId="0" borderId="32" xfId="41" applyNumberFormat="1" applyFont="1" applyFill="1" applyBorder="1" applyAlignment="1">
      <alignment horizontal="center" vertical="center"/>
    </xf>
    <xf numFmtId="0" fontId="16" fillId="0" borderId="32" xfId="33" applyFont="1" applyFill="1" applyBorder="1" applyAlignment="1">
      <alignment horizontal="left" vertical="center" wrapText="1"/>
    </xf>
    <xf numFmtId="166" fontId="16" fillId="0" borderId="32" xfId="33" applyNumberFormat="1" applyFont="1" applyFill="1" applyBorder="1" applyAlignment="1">
      <alignment horizontal="right" vertical="center"/>
    </xf>
    <xf numFmtId="0" fontId="7" fillId="0" borderId="32" xfId="40" applyFont="1" applyFill="1" applyBorder="1" applyAlignment="1">
      <alignment horizontal="left" vertical="center" wrapText="1"/>
    </xf>
    <xf numFmtId="164" fontId="16" fillId="0" borderId="32" xfId="40" applyNumberFormat="1" applyFont="1" applyFill="1" applyBorder="1" applyAlignment="1">
      <alignment horizontal="right" vertical="center"/>
    </xf>
    <xf numFmtId="169" fontId="16" fillId="0" borderId="32" xfId="40" applyNumberFormat="1" applyFont="1" applyFill="1" applyBorder="1" applyAlignment="1" applyProtection="1">
      <alignment horizontal="right" vertical="center"/>
    </xf>
    <xf numFmtId="0" fontId="17" fillId="2" borderId="31" xfId="0" applyFont="1" applyFill="1" applyBorder="1" applyAlignment="1">
      <alignment horizontal="left" vertical="center" wrapText="1"/>
    </xf>
    <xf numFmtId="2" fontId="16" fillId="0" borderId="32" xfId="40" applyNumberFormat="1" applyFont="1" applyFill="1" applyBorder="1" applyAlignment="1">
      <alignment horizontal="center" vertical="center"/>
    </xf>
    <xf numFmtId="0" fontId="7" fillId="0" borderId="29" xfId="40" applyNumberFormat="1" applyFont="1" applyFill="1" applyBorder="1" applyAlignment="1">
      <alignment horizontal="center" vertical="center" wrapText="1"/>
    </xf>
    <xf numFmtId="164" fontId="16" fillId="0" borderId="32" xfId="41" applyFont="1" applyFill="1" applyBorder="1" applyAlignment="1">
      <alignment horizontal="right" vertical="center"/>
    </xf>
    <xf numFmtId="0" fontId="16" fillId="0" borderId="32" xfId="40" applyNumberFormat="1" applyFont="1" applyFill="1" applyBorder="1" applyAlignment="1">
      <alignment horizontal="right" vertical="center"/>
    </xf>
    <xf numFmtId="0" fontId="16" fillId="0" borderId="32" xfId="40" applyFont="1" applyFill="1" applyBorder="1" applyAlignment="1">
      <alignment horizontal="left" vertical="center" wrapText="1"/>
    </xf>
    <xf numFmtId="166" fontId="16" fillId="0" borderId="32" xfId="40" applyNumberFormat="1" applyFont="1" applyFill="1" applyBorder="1" applyAlignment="1">
      <alignment horizontal="right" vertical="center"/>
    </xf>
    <xf numFmtId="169" fontId="16" fillId="0" borderId="28" xfId="40" applyNumberFormat="1" applyFont="1" applyFill="1" applyBorder="1" applyAlignment="1" applyProtection="1">
      <alignment horizontal="right" vertical="center"/>
    </xf>
    <xf numFmtId="0" fontId="16" fillId="8" borderId="8" xfId="3" applyFont="1" applyFill="1" applyBorder="1" applyAlignment="1">
      <alignment horizontal="left" vertical="center" wrapText="1"/>
    </xf>
    <xf numFmtId="166" fontId="16" fillId="8" borderId="8" xfId="3" applyNumberFormat="1" applyFont="1" applyFill="1" applyBorder="1" applyAlignment="1">
      <alignment horizontal="right" vertical="center"/>
    </xf>
    <xf numFmtId="0" fontId="16" fillId="8" borderId="27" xfId="3" applyFont="1" applyFill="1" applyBorder="1" applyAlignment="1">
      <alignment horizontal="left" vertical="center" wrapText="1"/>
    </xf>
    <xf numFmtId="166" fontId="16" fillId="8" borderId="27" xfId="3" applyNumberFormat="1" applyFont="1" applyFill="1" applyBorder="1" applyAlignment="1">
      <alignment horizontal="right" vertical="center"/>
    </xf>
    <xf numFmtId="0" fontId="16" fillId="8" borderId="32" xfId="40" applyFont="1" applyFill="1" applyBorder="1" applyAlignment="1">
      <alignment horizontal="left" vertical="center" wrapText="1"/>
    </xf>
    <xf numFmtId="166" fontId="16" fillId="8" borderId="32" xfId="40" applyNumberFormat="1" applyFont="1" applyFill="1" applyBorder="1" applyAlignment="1">
      <alignment horizontal="right" vertical="center"/>
    </xf>
    <xf numFmtId="0" fontId="21" fillId="0" borderId="1" xfId="3" applyNumberFormat="1" applyFont="1" applyFill="1" applyBorder="1" applyAlignment="1">
      <alignment horizontal="center" vertical="center" wrapText="1"/>
    </xf>
    <xf numFmtId="0" fontId="16" fillId="0" borderId="32" xfId="3" applyFont="1" applyFill="1" applyBorder="1" applyAlignment="1">
      <alignment horizontal="left" vertical="center" wrapText="1"/>
    </xf>
    <xf numFmtId="0" fontId="7" fillId="0" borderId="32" xfId="3" applyFont="1" applyFill="1" applyBorder="1" applyAlignment="1">
      <alignment horizontal="left" vertical="center" wrapText="1"/>
    </xf>
    <xf numFmtId="170" fontId="16" fillId="0" borderId="32" xfId="2" applyNumberFormat="1" applyFont="1" applyFill="1" applyBorder="1" applyAlignment="1">
      <alignment horizontal="right" vertical="center"/>
    </xf>
    <xf numFmtId="169" fontId="16" fillId="0" borderId="32" xfId="3" applyNumberFormat="1" applyFont="1" applyFill="1" applyBorder="1" applyAlignment="1" applyProtection="1">
      <alignment horizontal="right" vertical="center"/>
    </xf>
    <xf numFmtId="0" fontId="7" fillId="0" borderId="29" xfId="3" applyNumberFormat="1" applyFont="1" applyFill="1" applyBorder="1" applyAlignment="1">
      <alignment horizontal="center" vertical="center" wrapText="1"/>
    </xf>
    <xf numFmtId="0" fontId="16" fillId="0" borderId="32" xfId="3" applyFont="1" applyFill="1" applyBorder="1" applyAlignment="1">
      <alignment horizontal="right" vertical="center" wrapText="1"/>
    </xf>
    <xf numFmtId="0" fontId="16" fillId="0" borderId="0" xfId="3" applyFont="1" applyFill="1" applyBorder="1" applyAlignment="1">
      <alignment horizontal="left" vertical="center" wrapText="1"/>
    </xf>
    <xf numFmtId="0" fontId="7" fillId="0" borderId="61" xfId="3" applyNumberFormat="1" applyFont="1" applyFill="1" applyBorder="1" applyAlignment="1">
      <alignment horizontal="center" vertical="center" wrapText="1"/>
    </xf>
    <xf numFmtId="0" fontId="7" fillId="0" borderId="62" xfId="3" applyNumberFormat="1" applyFont="1" applyFill="1" applyBorder="1" applyAlignment="1">
      <alignment horizontal="center" vertical="center" wrapText="1"/>
    </xf>
    <xf numFmtId="0" fontId="16" fillId="0" borderId="32" xfId="18" applyFont="1" applyFill="1" applyBorder="1" applyAlignment="1">
      <alignment horizontal="left" vertical="center" wrapText="1"/>
    </xf>
    <xf numFmtId="166" fontId="16" fillId="0" borderId="32" xfId="18" applyNumberFormat="1" applyFont="1" applyFill="1" applyBorder="1" applyAlignment="1">
      <alignment horizontal="right" vertical="center"/>
    </xf>
    <xf numFmtId="9" fontId="16" fillId="0" borderId="32" xfId="18" applyNumberFormat="1" applyFont="1" applyFill="1" applyBorder="1" applyAlignment="1">
      <alignment horizontal="right" vertical="center"/>
    </xf>
    <xf numFmtId="0" fontId="16" fillId="0" borderId="32" xfId="18" applyNumberFormat="1" applyFont="1" applyFill="1" applyBorder="1" applyAlignment="1">
      <alignment horizontal="right" vertical="center"/>
    </xf>
    <xf numFmtId="0" fontId="21" fillId="0" borderId="1" xfId="3" applyNumberFormat="1" applyFont="1" applyFill="1" applyBorder="1" applyAlignment="1">
      <alignment vertical="center" wrapText="1"/>
    </xf>
    <xf numFmtId="168" fontId="17" fillId="2" borderId="66" xfId="0" applyNumberFormat="1" applyFont="1" applyFill="1" applyBorder="1" applyAlignment="1">
      <alignment horizontal="center" vertical="center"/>
    </xf>
    <xf numFmtId="1" fontId="16" fillId="0" borderId="67" xfId="3" applyNumberFormat="1" applyFont="1" applyFill="1" applyBorder="1" applyAlignment="1">
      <alignment horizontal="center" vertical="top"/>
    </xf>
    <xf numFmtId="0" fontId="7" fillId="0" borderId="69" xfId="3" applyFont="1" applyFill="1" applyBorder="1" applyAlignment="1">
      <alignment horizontal="left" vertical="center" wrapText="1"/>
    </xf>
    <xf numFmtId="166" fontId="16" fillId="0" borderId="69" xfId="3" applyNumberFormat="1" applyFont="1" applyFill="1" applyBorder="1" applyAlignment="1">
      <alignment horizontal="right" vertical="center"/>
    </xf>
    <xf numFmtId="9" fontId="16" fillId="0" borderId="69" xfId="3" applyNumberFormat="1" applyFont="1" applyFill="1" applyBorder="1" applyAlignment="1">
      <alignment horizontal="right" vertical="center"/>
    </xf>
    <xf numFmtId="0" fontId="16" fillId="0" borderId="69" xfId="3" applyNumberFormat="1" applyFont="1" applyFill="1" applyBorder="1" applyAlignment="1">
      <alignment horizontal="right" vertical="center"/>
    </xf>
    <xf numFmtId="164" fontId="16" fillId="0" borderId="69" xfId="3" applyNumberFormat="1" applyFont="1" applyFill="1" applyBorder="1" applyAlignment="1">
      <alignment horizontal="right" vertical="center"/>
    </xf>
    <xf numFmtId="170" fontId="16" fillId="0" borderId="69" xfId="3" applyNumberFormat="1" applyFont="1" applyFill="1" applyBorder="1" applyAlignment="1">
      <alignment horizontal="right" vertical="center"/>
    </xf>
    <xf numFmtId="170" fontId="16" fillId="0" borderId="69" xfId="2" applyNumberFormat="1" applyFont="1" applyFill="1" applyBorder="1" applyAlignment="1">
      <alignment horizontal="right" vertical="center"/>
    </xf>
    <xf numFmtId="169" fontId="16" fillId="0" borderId="69" xfId="3" applyNumberFormat="1" applyFont="1" applyFill="1" applyBorder="1" applyAlignment="1" applyProtection="1">
      <alignment horizontal="right" vertical="center"/>
    </xf>
    <xf numFmtId="169" fontId="16" fillId="0" borderId="70" xfId="3" applyNumberFormat="1" applyFont="1" applyFill="1" applyBorder="1" applyAlignment="1" applyProtection="1">
      <alignment horizontal="right" vertical="center"/>
    </xf>
    <xf numFmtId="169" fontId="7" fillId="0" borderId="68" xfId="3" applyNumberFormat="1" applyFont="1" applyFill="1" applyBorder="1" applyAlignment="1" applyProtection="1">
      <alignment horizontal="left" vertical="top"/>
    </xf>
    <xf numFmtId="0" fontId="17" fillId="2" borderId="71" xfId="0" applyFont="1" applyFill="1" applyBorder="1" applyAlignment="1">
      <alignment horizontal="left" vertical="center" wrapText="1"/>
    </xf>
    <xf numFmtId="0" fontId="16" fillId="0" borderId="69" xfId="3" applyFont="1" applyFill="1" applyBorder="1" applyAlignment="1">
      <alignment horizontal="left" vertical="center" wrapText="1"/>
    </xf>
    <xf numFmtId="171" fontId="16" fillId="0" borderId="69" xfId="2" applyNumberFormat="1" applyFont="1" applyFill="1" applyBorder="1" applyAlignment="1">
      <alignment horizontal="center" vertical="center"/>
    </xf>
    <xf numFmtId="2" fontId="16" fillId="0" borderId="69" xfId="9" applyNumberFormat="1" applyFont="1" applyFill="1" applyBorder="1" applyAlignment="1">
      <alignment horizontal="center" vertical="center"/>
    </xf>
    <xf numFmtId="164" fontId="16" fillId="0" borderId="69" xfId="2" applyFont="1" applyFill="1" applyBorder="1" applyAlignment="1">
      <alignment horizontal="right" vertical="center"/>
    </xf>
    <xf numFmtId="169" fontId="16" fillId="0" borderId="69" xfId="9" applyNumberFormat="1" applyFont="1" applyFill="1" applyBorder="1" applyAlignment="1" applyProtection="1">
      <alignment horizontal="right" vertical="center"/>
    </xf>
    <xf numFmtId="0" fontId="21" fillId="0" borderId="61" xfId="3" applyNumberFormat="1" applyFont="1" applyFill="1" applyBorder="1" applyAlignment="1">
      <alignment vertical="center" wrapText="1"/>
    </xf>
    <xf numFmtId="0" fontId="16" fillId="0" borderId="29" xfId="3" applyNumberFormat="1" applyFont="1" applyFill="1" applyBorder="1" applyAlignment="1">
      <alignment horizontal="center" vertical="center" wrapText="1"/>
    </xf>
    <xf numFmtId="0" fontId="21" fillId="0" borderId="61" xfId="3" applyNumberFormat="1" applyFont="1" applyFill="1" applyBorder="1" applyAlignment="1">
      <alignment vertical="center"/>
    </xf>
    <xf numFmtId="0" fontId="21" fillId="0" borderId="1" xfId="3" applyNumberFormat="1" applyFont="1" applyFill="1" applyBorder="1" applyAlignment="1">
      <alignment vertical="center"/>
    </xf>
    <xf numFmtId="0" fontId="16" fillId="0" borderId="32" xfId="20" applyFont="1" applyFill="1" applyBorder="1" applyAlignment="1">
      <alignment horizontal="left" vertical="center" wrapText="1"/>
    </xf>
    <xf numFmtId="0" fontId="21" fillId="0" borderId="60" xfId="3" applyNumberFormat="1" applyFont="1" applyFill="1" applyBorder="1" applyAlignment="1">
      <alignment vertical="center" wrapText="1"/>
    </xf>
    <xf numFmtId="0" fontId="38" fillId="0" borderId="32" xfId="3" applyFont="1" applyFill="1" applyBorder="1" applyAlignment="1">
      <alignment horizontal="left" vertical="center" wrapText="1"/>
    </xf>
    <xf numFmtId="0" fontId="16" fillId="0" borderId="32" xfId="20" applyFont="1" applyFill="1" applyBorder="1" applyAlignment="1">
      <alignment horizontal="left" vertical="center"/>
    </xf>
    <xf numFmtId="1" fontId="16" fillId="0" borderId="32" xfId="3" applyNumberFormat="1" applyFont="1" applyFill="1" applyBorder="1" applyAlignment="1">
      <alignment horizontal="right" vertical="center"/>
    </xf>
    <xf numFmtId="166" fontId="16" fillId="0" borderId="32" xfId="20" applyNumberFormat="1" applyFont="1" applyFill="1" applyBorder="1" applyAlignment="1">
      <alignment horizontal="right" vertical="center"/>
    </xf>
    <xf numFmtId="9" fontId="16" fillId="0" borderId="32" xfId="20" applyNumberFormat="1" applyFont="1" applyFill="1" applyBorder="1" applyAlignment="1">
      <alignment horizontal="right" vertical="center"/>
    </xf>
    <xf numFmtId="0" fontId="16" fillId="0" borderId="32" xfId="20" applyNumberFormat="1" applyFont="1" applyFill="1" applyBorder="1" applyAlignment="1">
      <alignment horizontal="right" vertical="center"/>
    </xf>
    <xf numFmtId="0" fontId="17" fillId="2" borderId="0" xfId="0" applyFont="1" applyFill="1" applyAlignment="1">
      <alignment horizontal="left" vertical="center" wrapText="1"/>
    </xf>
    <xf numFmtId="164" fontId="16" fillId="0" borderId="73" xfId="3" applyNumberFormat="1" applyFont="1" applyFill="1" applyBorder="1" applyAlignment="1">
      <alignment horizontal="right" vertical="center"/>
    </xf>
    <xf numFmtId="170" fontId="16" fillId="0" borderId="73" xfId="3" applyNumberFormat="1" applyFont="1" applyFill="1" applyBorder="1" applyAlignment="1">
      <alignment horizontal="right" vertical="center"/>
    </xf>
    <xf numFmtId="171" fontId="16" fillId="0" borderId="73" xfId="2" applyNumberFormat="1" applyFont="1" applyFill="1" applyBorder="1" applyAlignment="1">
      <alignment horizontal="center" vertical="center"/>
    </xf>
    <xf numFmtId="2" fontId="16" fillId="0" borderId="73" xfId="9" applyNumberFormat="1" applyFont="1" applyFill="1" applyBorder="1" applyAlignment="1">
      <alignment horizontal="center" vertical="center"/>
    </xf>
    <xf numFmtId="164" fontId="16" fillId="0" borderId="73" xfId="2" applyFont="1" applyFill="1" applyBorder="1" applyAlignment="1">
      <alignment horizontal="right" vertical="center"/>
    </xf>
    <xf numFmtId="169" fontId="16" fillId="0" borderId="73" xfId="9" applyNumberFormat="1" applyFont="1" applyFill="1" applyBorder="1" applyAlignment="1" applyProtection="1">
      <alignment horizontal="right" vertical="center"/>
    </xf>
    <xf numFmtId="169" fontId="16" fillId="0" borderId="74" xfId="3" applyNumberFormat="1" applyFont="1" applyFill="1" applyBorder="1" applyAlignment="1" applyProtection="1">
      <alignment horizontal="right" vertical="center"/>
    </xf>
    <xf numFmtId="169" fontId="7" fillId="0" borderId="75" xfId="3" applyNumberFormat="1" applyFont="1" applyFill="1" applyBorder="1" applyAlignment="1" applyProtection="1">
      <alignment horizontal="left" vertical="top"/>
    </xf>
    <xf numFmtId="0" fontId="7" fillId="0" borderId="68" xfId="3" applyNumberFormat="1" applyFont="1" applyFill="1" applyBorder="1" applyAlignment="1">
      <alignment horizontal="center" vertical="center" wrapText="1"/>
    </xf>
    <xf numFmtId="0" fontId="7" fillId="0" borderId="73" xfId="3" applyFont="1" applyFill="1" applyBorder="1" applyAlignment="1">
      <alignment horizontal="right" vertical="center" wrapText="1"/>
    </xf>
    <xf numFmtId="9" fontId="16" fillId="0" borderId="69" xfId="18" applyNumberFormat="1" applyFont="1" applyFill="1" applyBorder="1" applyAlignment="1">
      <alignment horizontal="right" vertical="center"/>
    </xf>
    <xf numFmtId="166" fontId="16" fillId="0" borderId="69" xfId="18" applyNumberFormat="1" applyFont="1" applyFill="1" applyBorder="1" applyAlignment="1">
      <alignment horizontal="right" vertical="center"/>
    </xf>
    <xf numFmtId="0" fontId="16" fillId="0" borderId="69" xfId="18" applyNumberFormat="1" applyFont="1" applyFill="1" applyBorder="1" applyAlignment="1">
      <alignment horizontal="right" vertical="center"/>
    </xf>
    <xf numFmtId="0" fontId="16" fillId="0" borderId="69" xfId="18" applyFont="1" applyFill="1" applyBorder="1" applyAlignment="1">
      <alignment horizontal="left" vertical="center" wrapText="1"/>
    </xf>
    <xf numFmtId="166" fontId="16" fillId="0" borderId="69" xfId="20" applyNumberFormat="1" applyFont="1" applyFill="1" applyBorder="1" applyAlignment="1">
      <alignment horizontal="right" vertical="center"/>
    </xf>
    <xf numFmtId="9" fontId="16" fillId="0" borderId="69" xfId="20" applyNumberFormat="1" applyFont="1" applyFill="1" applyBorder="1" applyAlignment="1">
      <alignment horizontal="right" vertical="center"/>
    </xf>
    <xf numFmtId="0" fontId="16" fillId="0" borderId="69" xfId="20" applyNumberFormat="1" applyFont="1" applyFill="1" applyBorder="1" applyAlignment="1">
      <alignment horizontal="right" vertical="center"/>
    </xf>
    <xf numFmtId="0" fontId="17" fillId="11" borderId="71" xfId="0" applyFont="1" applyFill="1" applyBorder="1" applyAlignment="1">
      <alignment horizontal="left" vertical="center" wrapText="1"/>
    </xf>
    <xf numFmtId="0" fontId="16" fillId="0" borderId="69" xfId="20" applyFont="1" applyFill="1" applyBorder="1" applyAlignment="1">
      <alignment horizontal="left" vertical="center" wrapText="1"/>
    </xf>
    <xf numFmtId="0" fontId="17" fillId="11" borderId="71" xfId="0" applyFont="1" applyFill="1" applyBorder="1" applyAlignment="1">
      <alignment horizontal="left" vertical="center"/>
    </xf>
    <xf numFmtId="0" fontId="20" fillId="2" borderId="2" xfId="22" applyFont="1" applyFill="1" applyBorder="1" applyAlignment="1">
      <alignment horizontal="center" vertical="center"/>
    </xf>
    <xf numFmtId="0" fontId="20" fillId="2" borderId="3" xfId="22" applyFont="1" applyFill="1" applyBorder="1" applyAlignment="1">
      <alignment horizontal="center" vertical="center"/>
    </xf>
    <xf numFmtId="0" fontId="20" fillId="2" borderId="34" xfId="22" applyFont="1" applyFill="1" applyBorder="1" applyAlignment="1">
      <alignment horizontal="center" vertical="center"/>
    </xf>
    <xf numFmtId="0" fontId="20" fillId="2" borderId="35" xfId="22" applyFont="1" applyFill="1" applyBorder="1" applyAlignment="1">
      <alignment horizontal="center" vertical="center"/>
    </xf>
    <xf numFmtId="0" fontId="19" fillId="0" borderId="36" xfId="22" applyFont="1" applyBorder="1" applyAlignment="1">
      <alignment horizontal="center" vertical="center" wrapText="1"/>
    </xf>
    <xf numFmtId="0" fontId="19" fillId="0" borderId="37" xfId="22" applyFont="1" applyBorder="1" applyAlignment="1">
      <alignment horizontal="center" vertical="center" wrapText="1"/>
    </xf>
    <xf numFmtId="0" fontId="19" fillId="0" borderId="39" xfId="22" applyFont="1" applyBorder="1" applyAlignment="1">
      <alignment horizontal="center" vertical="center" wrapText="1"/>
    </xf>
    <xf numFmtId="0" fontId="19" fillId="0" borderId="40" xfId="22" applyFont="1" applyBorder="1" applyAlignment="1">
      <alignment horizontal="center" vertical="center" wrapText="1"/>
    </xf>
    <xf numFmtId="0" fontId="18" fillId="0" borderId="38" xfId="22" applyFont="1" applyBorder="1" applyAlignment="1">
      <alignment horizontal="center" vertical="center" wrapText="1"/>
    </xf>
    <xf numFmtId="0" fontId="18" fillId="0" borderId="41" xfId="22" applyFont="1" applyBorder="1" applyAlignment="1">
      <alignment horizontal="center" vertical="center" wrapText="1"/>
    </xf>
    <xf numFmtId="14" fontId="10" fillId="0" borderId="0" xfId="22" applyNumberFormat="1" applyFont="1" applyAlignment="1">
      <alignment horizontal="left" vertical="center" wrapText="1"/>
    </xf>
    <xf numFmtId="0" fontId="10" fillId="0" borderId="0" xfId="22" applyFont="1" applyAlignment="1">
      <alignment horizontal="left" vertical="center" wrapText="1"/>
    </xf>
    <xf numFmtId="0" fontId="10" fillId="0" borderId="35" xfId="22" applyFont="1" applyBorder="1" applyAlignment="1">
      <alignment horizontal="left" vertical="center" wrapText="1"/>
    </xf>
    <xf numFmtId="0" fontId="29" fillId="0" borderId="36" xfId="22" applyFont="1" applyBorder="1" applyAlignment="1">
      <alignment horizontal="center" vertical="center"/>
    </xf>
    <xf numFmtId="0" fontId="29" fillId="0" borderId="37" xfId="22" applyFont="1" applyBorder="1" applyAlignment="1">
      <alignment horizontal="center" vertical="center"/>
    </xf>
    <xf numFmtId="0" fontId="29" fillId="0" borderId="39" xfId="22" applyFont="1" applyBorder="1" applyAlignment="1">
      <alignment horizontal="center" vertical="center"/>
    </xf>
    <xf numFmtId="0" fontId="29" fillId="0" borderId="40" xfId="22" applyFont="1" applyBorder="1" applyAlignment="1">
      <alignment horizontal="center" vertical="center"/>
    </xf>
    <xf numFmtId="0" fontId="29" fillId="0" borderId="38" xfId="22" applyFont="1" applyBorder="1" applyAlignment="1">
      <alignment horizontal="center" vertical="center" wrapText="1"/>
    </xf>
    <xf numFmtId="0" fontId="29" fillId="0" borderId="41" xfId="22" applyFont="1" applyBorder="1" applyAlignment="1">
      <alignment horizontal="center" vertical="center" wrapText="1"/>
    </xf>
    <xf numFmtId="0" fontId="20" fillId="2" borderId="64" xfId="0" applyFont="1" applyFill="1" applyBorder="1" applyAlignment="1">
      <alignment horizontal="center" vertical="center"/>
    </xf>
    <xf numFmtId="0" fontId="20" fillId="2" borderId="65" xfId="0" applyFont="1" applyFill="1" applyBorder="1" applyAlignment="1">
      <alignment horizontal="center" vertical="center"/>
    </xf>
    <xf numFmtId="0" fontId="21" fillId="0" borderId="61" xfId="3" applyNumberFormat="1" applyFont="1" applyFill="1" applyBorder="1" applyAlignment="1">
      <alignment horizontal="center" vertical="center" wrapText="1"/>
    </xf>
    <xf numFmtId="0" fontId="21" fillId="0" borderId="1" xfId="3" applyNumberFormat="1" applyFont="1" applyFill="1" applyBorder="1" applyAlignment="1">
      <alignment horizontal="center" vertical="center" wrapText="1"/>
    </xf>
    <xf numFmtId="0" fontId="21" fillId="0" borderId="60" xfId="3" applyNumberFormat="1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left" vertical="center"/>
    </xf>
    <xf numFmtId="0" fontId="20" fillId="2" borderId="35" xfId="0" applyFont="1" applyFill="1" applyBorder="1" applyAlignment="1">
      <alignment horizontal="left" vertical="center"/>
    </xf>
    <xf numFmtId="0" fontId="20" fillId="2" borderId="44" xfId="0" applyFont="1" applyFill="1" applyBorder="1" applyAlignment="1">
      <alignment horizontal="center" vertical="top"/>
    </xf>
    <xf numFmtId="0" fontId="20" fillId="2" borderId="45" xfId="0" applyFont="1" applyFill="1" applyBorder="1" applyAlignment="1">
      <alignment horizontal="center" vertical="top"/>
    </xf>
    <xf numFmtId="0" fontId="20" fillId="2" borderId="46" xfId="0" applyFont="1" applyFill="1" applyBorder="1" applyAlignment="1">
      <alignment horizontal="center" vertical="top"/>
    </xf>
    <xf numFmtId="0" fontId="34" fillId="0" borderId="4" xfId="0" applyFont="1" applyBorder="1" applyAlignment="1">
      <alignment horizontal="left" vertical="top" wrapText="1"/>
    </xf>
    <xf numFmtId="0" fontId="34" fillId="0" borderId="0" xfId="0" applyFont="1" applyAlignment="1">
      <alignment horizontal="left" vertical="top" wrapText="1"/>
    </xf>
    <xf numFmtId="0" fontId="17" fillId="2" borderId="49" xfId="0" applyFont="1" applyFill="1" applyBorder="1" applyAlignment="1">
      <alignment horizontal="center" vertical="top"/>
    </xf>
    <xf numFmtId="0" fontId="17" fillId="2" borderId="50" xfId="0" applyFont="1" applyFill="1" applyBorder="1" applyAlignment="1">
      <alignment horizontal="center" vertical="top"/>
    </xf>
    <xf numFmtId="0" fontId="17" fillId="2" borderId="51" xfId="0" applyFont="1" applyFill="1" applyBorder="1" applyAlignment="1">
      <alignment horizontal="center" vertical="top"/>
    </xf>
    <xf numFmtId="0" fontId="17" fillId="2" borderId="56" xfId="0" applyFont="1" applyFill="1" applyBorder="1" applyAlignment="1">
      <alignment horizontal="center" vertical="top"/>
    </xf>
    <xf numFmtId="0" fontId="17" fillId="2" borderId="57" xfId="0" applyFont="1" applyFill="1" applyBorder="1" applyAlignment="1">
      <alignment horizontal="center" vertical="top"/>
    </xf>
    <xf numFmtId="0" fontId="17" fillId="2" borderId="58" xfId="0" applyFont="1" applyFill="1" applyBorder="1" applyAlignment="1">
      <alignment horizontal="center" vertical="top"/>
    </xf>
    <xf numFmtId="0" fontId="34" fillId="0" borderId="52" xfId="0" applyFont="1" applyBorder="1" applyAlignment="1">
      <alignment horizontal="center" vertical="top"/>
    </xf>
    <xf numFmtId="0" fontId="34" fillId="0" borderId="9" xfId="0" applyFont="1" applyBorder="1" applyAlignment="1">
      <alignment horizontal="center" vertical="top"/>
    </xf>
    <xf numFmtId="0" fontId="34" fillId="0" borderId="33" xfId="0" applyFont="1" applyBorder="1" applyAlignment="1">
      <alignment horizontal="center" vertical="top"/>
    </xf>
    <xf numFmtId="0" fontId="34" fillId="0" borderId="54" xfId="0" applyFont="1" applyBorder="1" applyAlignment="1">
      <alignment horizontal="center" vertical="top"/>
    </xf>
    <xf numFmtId="0" fontId="34" fillId="0" borderId="3" xfId="0" applyFont="1" applyBorder="1" applyAlignment="1">
      <alignment horizontal="center" vertical="top"/>
    </xf>
    <xf numFmtId="0" fontId="20" fillId="2" borderId="2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1" fillId="0" borderId="24" xfId="3" applyNumberFormat="1" applyFont="1" applyFill="1" applyBorder="1" applyAlignment="1">
      <alignment horizontal="center" vertical="center" wrapText="1"/>
    </xf>
    <xf numFmtId="0" fontId="21" fillId="0" borderId="25" xfId="3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14" fontId="10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1" fillId="0" borderId="26" xfId="3" applyNumberFormat="1" applyFont="1" applyFill="1" applyBorder="1" applyAlignment="1">
      <alignment horizontal="center" vertical="center" wrapText="1"/>
    </xf>
    <xf numFmtId="0" fontId="21" fillId="0" borderId="26" xfId="40" applyNumberFormat="1" applyFont="1" applyFill="1" applyBorder="1" applyAlignment="1">
      <alignment horizontal="center" vertical="center" wrapText="1"/>
    </xf>
    <xf numFmtId="0" fontId="21" fillId="0" borderId="1" xfId="40" applyNumberFormat="1" applyFont="1" applyFill="1" applyBorder="1" applyAlignment="1">
      <alignment horizontal="center" vertical="center" wrapText="1"/>
    </xf>
    <xf numFmtId="0" fontId="21" fillId="0" borderId="63" xfId="3" applyNumberFormat="1" applyFont="1" applyFill="1" applyBorder="1" applyAlignment="1">
      <alignment horizontal="center" vertical="center" wrapText="1"/>
    </xf>
    <xf numFmtId="0" fontId="21" fillId="0" borderId="33" xfId="3" applyNumberFormat="1" applyFont="1" applyFill="1" applyBorder="1" applyAlignment="1">
      <alignment horizontal="center" vertical="center" wrapText="1"/>
    </xf>
    <xf numFmtId="0" fontId="21" fillId="0" borderId="75" xfId="3" applyNumberFormat="1" applyFont="1" applyFill="1" applyBorder="1" applyAlignment="1">
      <alignment horizontal="center" vertical="center" wrapText="1"/>
    </xf>
    <xf numFmtId="0" fontId="21" fillId="0" borderId="76" xfId="3" applyNumberFormat="1" applyFont="1" applyFill="1" applyBorder="1" applyAlignment="1">
      <alignment horizontal="center" vertical="center" wrapText="1"/>
    </xf>
    <xf numFmtId="0" fontId="21" fillId="0" borderId="72" xfId="3" applyNumberFormat="1" applyFont="1" applyFill="1" applyBorder="1" applyAlignment="1">
      <alignment horizontal="center" vertical="center" wrapText="1"/>
    </xf>
    <xf numFmtId="0" fontId="21" fillId="0" borderId="77" xfId="3" applyNumberFormat="1" applyFont="1" applyFill="1" applyBorder="1" applyAlignment="1">
      <alignment horizontal="center" vertical="center" wrapText="1"/>
    </xf>
    <xf numFmtId="0" fontId="21" fillId="0" borderId="78" xfId="3" applyNumberFormat="1" applyFont="1" applyFill="1" applyBorder="1" applyAlignment="1">
      <alignment horizontal="center" vertical="center" wrapText="1"/>
    </xf>
  </cellXfs>
  <cellStyles count="47">
    <cellStyle name="Currency" xfId="2" builtinId="4"/>
    <cellStyle name="Currency 2" xfId="11" xr:uid="{A4C5BE8F-E472-4724-9761-D35870DEEC17}"/>
    <cellStyle name="Currency 2 2" xfId="21" xr:uid="{23A0E105-CA80-49F9-B3FD-EA4FDA32E91A}"/>
    <cellStyle name="Currency 2 2 2" xfId="25" xr:uid="{87B28034-92EB-489C-ADAA-A3708B7CF4DD}"/>
    <cellStyle name="Currency 2 2 2 2" xfId="41" xr:uid="{87B28034-92EB-489C-ADAA-A3708B7CF4DD}"/>
    <cellStyle name="Currency 2 2 3" xfId="37" xr:uid="{23A0E105-CA80-49F9-B3FD-EA4FDA32E91A}"/>
    <cellStyle name="Currency 3" xfId="29" xr:uid="{00000000-0005-0000-0000-000031000000}"/>
    <cellStyle name="Normal" xfId="0" builtinId="0"/>
    <cellStyle name="Normal 2" xfId="4" xr:uid="{00000000-0005-0000-0000-000002000000}"/>
    <cellStyle name="Normal 2 2" xfId="13" xr:uid="{D7C18FDF-53DB-40F2-B59E-10690705A936}"/>
    <cellStyle name="Normal 2 3" xfId="8" xr:uid="{00000000-0005-0000-0000-000003000000}"/>
    <cellStyle name="Normal 2 3 2" xfId="19" xr:uid="{4EB92424-D679-42FB-87BF-949465304F52}"/>
    <cellStyle name="Normal 2 3 3" xfId="17" xr:uid="{7FC736B6-6855-4BA3-9906-FC294F3DB881}"/>
    <cellStyle name="Normal 3" xfId="26" xr:uid="{00000000-0005-0000-0000-000046000000}"/>
    <cellStyle name="Normal 3 2" xfId="22" xr:uid="{5588C374-3A03-4FF5-B4AE-5E42C054755E}"/>
    <cellStyle name="Normal 3 2 2" xfId="38" xr:uid="{5588C374-3A03-4FF5-B4AE-5E42C054755E}"/>
    <cellStyle name="Normal 3 3" xfId="42" xr:uid="{00000000-0005-0000-0000-000046000000}"/>
    <cellStyle name="Normal 4" xfId="28" xr:uid="{00000000-0005-0000-0000-000035000000}"/>
    <cellStyle name="Normal 5" xfId="27" xr:uid="{00000000-0005-0000-0000-00004C000000}"/>
    <cellStyle name="Note" xfId="3" builtinId="10"/>
    <cellStyle name="Note 2" xfId="9" xr:uid="{00000000-0005-0000-0000-000005000000}"/>
    <cellStyle name="Note 2 2" xfId="18" xr:uid="{5362CA36-3569-4749-88AC-08DE34506BFB}"/>
    <cellStyle name="Note 2 2 2" xfId="20" xr:uid="{62BC4910-0A33-45DA-812E-15625649ED86}"/>
    <cellStyle name="Note 2 2 2 2" xfId="24" xr:uid="{616E1E99-193D-4B94-9D78-AAC7CEAE623F}"/>
    <cellStyle name="Note 2 2 2 2 2" xfId="40" xr:uid="{616E1E99-193D-4B94-9D78-AAC7CEAE623F}"/>
    <cellStyle name="Note 2 2 2 3" xfId="36" xr:uid="{62BC4910-0A33-45DA-812E-15625649ED86}"/>
    <cellStyle name="Note 2 3" xfId="33" xr:uid="{00000000-0005-0000-0000-000005000000}"/>
    <cellStyle name="Note 3" xfId="12" xr:uid="{B5136E4D-7CDB-4774-A980-A1046FF3CB04}"/>
    <cellStyle name="Note 3 2" xfId="23" xr:uid="{C983756E-6103-416B-B61E-879DE9DEB928}"/>
    <cellStyle name="Note 3 2 2" xfId="39" xr:uid="{C983756E-6103-416B-B61E-879DE9DEB928}"/>
    <cellStyle name="Note 4" xfId="30" xr:uid="{00000000-0005-0000-0000-00003D000000}"/>
    <cellStyle name="Style 1" xfId="5" xr:uid="{00000000-0005-0000-0000-000006000000}"/>
    <cellStyle name="Style 1 2" xfId="14" xr:uid="{28A26BEE-83D7-4237-8BCF-15D0E4AFDD3E}"/>
    <cellStyle name="Style 1 2 2" xfId="34" xr:uid="{28A26BEE-83D7-4237-8BCF-15D0E4AFDD3E}"/>
    <cellStyle name="Style 1 3" xfId="43" xr:uid="{00000000-0005-0000-0000-000006000000}"/>
    <cellStyle name="Style 1 4" xfId="45" xr:uid="{00000000-0005-0000-0000-000006000000}"/>
    <cellStyle name="Style 1 5" xfId="31" xr:uid="{00000000-0005-0000-0000-000006000000}"/>
    <cellStyle name="Style 2" xfId="6" xr:uid="{00000000-0005-0000-0000-000007000000}"/>
    <cellStyle name="Style 2 2" xfId="15" xr:uid="{366D9106-D20C-4DDC-BF9D-A4921361371B}"/>
    <cellStyle name="Style 2 2 2" xfId="35" xr:uid="{366D9106-D20C-4DDC-BF9D-A4921361371B}"/>
    <cellStyle name="Style 2 3" xfId="44" xr:uid="{00000000-0005-0000-0000-000007000000}"/>
    <cellStyle name="Style 2 4" xfId="46" xr:uid="{00000000-0005-0000-0000-000007000000}"/>
    <cellStyle name="Style 2 5" xfId="32" xr:uid="{00000000-0005-0000-0000-000007000000}"/>
    <cellStyle name="Style 3" xfId="7" xr:uid="{00000000-0005-0000-0000-000008000000}"/>
    <cellStyle name="Style 3 2" xfId="16" xr:uid="{A766E3AB-6E7A-41DC-921C-133DA5DA1B03}"/>
    <cellStyle name="Style 4" xfId="1" xr:uid="{00000000-0005-0000-0000-000009000000}"/>
    <cellStyle name="Style 4 2" xfId="10" xr:uid="{A253F861-5E1B-4C62-9CA2-85EF50331611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CE3FD"/>
      <color rgb="FF4A909A"/>
      <color rgb="FFEC6B0A"/>
      <color rgb="FFAAD2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DA20F-9256-4BCE-A47A-4477B22F710A}">
  <sheetPr>
    <tabColor rgb="FFFFFF00"/>
    <pageSetUpPr fitToPage="1"/>
  </sheetPr>
  <dimension ref="A1:CE389"/>
  <sheetViews>
    <sheetView showGridLines="0" zoomScale="55" zoomScaleNormal="55" zoomScaleSheetLayoutView="160" zoomScalePageLayoutView="10" workbookViewId="0">
      <pane ySplit="7" topLeftCell="A8" activePane="bottomLeft" state="frozen"/>
      <selection pane="bottomLeft" activeCell="K20" sqref="K20"/>
    </sheetView>
  </sheetViews>
  <sheetFormatPr defaultColWidth="9" defaultRowHeight="15"/>
  <cols>
    <col min="1" max="1" width="9.140625" style="83" customWidth="1"/>
    <col min="2" max="2" width="16.140625" style="152" customWidth="1"/>
    <col min="3" max="3" width="79.140625" style="160" customWidth="1"/>
    <col min="4" max="4" width="11.85546875" style="161" customWidth="1"/>
    <col min="5" max="5" width="0.140625" style="162" customWidth="1"/>
    <col min="6" max="6" width="10.140625" style="83" hidden="1" customWidth="1"/>
    <col min="7" max="7" width="12.5703125" style="163" hidden="1" customWidth="1"/>
    <col min="8" max="8" width="14.85546875" style="164" hidden="1" customWidth="1"/>
    <col min="9" max="9" width="12.42578125" style="83" hidden="1" customWidth="1"/>
    <col min="10" max="10" width="14" style="83" customWidth="1"/>
    <col min="11" max="11" width="23.140625" style="83" customWidth="1"/>
    <col min="12" max="12" width="20.42578125" style="83" customWidth="1"/>
    <col min="13" max="13" width="22" style="83" customWidth="1"/>
    <col min="14" max="16" width="9.85546875" style="83" bestFit="1" customWidth="1"/>
    <col min="17" max="16384" width="9" style="83"/>
  </cols>
  <sheetData>
    <row r="1" spans="1:83" s="84" customFormat="1" ht="19.5" thickBot="1">
      <c r="A1" s="293" t="s">
        <v>0</v>
      </c>
      <c r="B1" s="294"/>
      <c r="C1" s="294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</row>
    <row r="2" spans="1:83" s="91" customFormat="1" ht="18.600000000000001" customHeight="1">
      <c r="A2" s="295" t="s">
        <v>34</v>
      </c>
      <c r="B2" s="296"/>
      <c r="C2" s="299" t="str">
        <f>ESTIMATE!C2</f>
        <v>10 WEST 17TH STREET, NEW YORK, NY 10011</v>
      </c>
      <c r="D2" s="85"/>
      <c r="E2" s="301"/>
      <c r="F2" s="302"/>
      <c r="G2" s="303"/>
      <c r="H2" s="303"/>
      <c r="I2" s="88"/>
      <c r="J2" s="88"/>
      <c r="K2" s="88"/>
      <c r="L2" s="89"/>
      <c r="M2" s="90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  <c r="AS2" s="88"/>
      <c r="AT2" s="88"/>
      <c r="AU2" s="88"/>
      <c r="AV2" s="88"/>
      <c r="AW2" s="88"/>
      <c r="AX2" s="88"/>
      <c r="AY2" s="88"/>
      <c r="AZ2" s="88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</row>
    <row r="3" spans="1:83" s="91" customFormat="1" ht="18.600000000000001" customHeight="1" thickBot="1">
      <c r="A3" s="297"/>
      <c r="B3" s="298"/>
      <c r="C3" s="300"/>
      <c r="D3" s="85"/>
      <c r="E3" s="86"/>
      <c r="F3" s="87"/>
      <c r="G3" s="87"/>
      <c r="H3" s="87"/>
      <c r="I3" s="88"/>
      <c r="J3" s="88"/>
      <c r="K3" s="88"/>
      <c r="L3" s="89"/>
      <c r="M3" s="90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</row>
    <row r="4" spans="1:83" s="91" customFormat="1" ht="18.600000000000001" customHeight="1">
      <c r="A4" s="295" t="s">
        <v>35</v>
      </c>
      <c r="B4" s="296"/>
      <c r="C4" s="299" t="str">
        <f>ESTIMATE!C3</f>
        <v>10 WEST 17TH STREET, NEW YORK, NY 10011</v>
      </c>
      <c r="D4" s="85"/>
      <c r="E4" s="302"/>
      <c r="F4" s="302"/>
      <c r="G4" s="302"/>
      <c r="H4" s="302"/>
      <c r="I4" s="88"/>
      <c r="J4" s="304" t="s">
        <v>56</v>
      </c>
      <c r="K4" s="305"/>
      <c r="L4" s="308">
        <v>12</v>
      </c>
      <c r="M4" s="90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  <c r="Y4" s="88"/>
      <c r="Z4" s="88"/>
      <c r="AA4" s="88"/>
      <c r="AB4" s="88"/>
      <c r="AC4" s="88"/>
      <c r="AD4" s="88"/>
      <c r="AE4" s="88"/>
      <c r="AF4" s="88"/>
      <c r="AG4" s="88"/>
      <c r="AH4" s="88"/>
      <c r="AI4" s="88"/>
      <c r="AJ4" s="88"/>
      <c r="AK4" s="88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</row>
    <row r="5" spans="1:83" s="91" customFormat="1" ht="18.600000000000001" customHeight="1" thickBot="1">
      <c r="A5" s="297"/>
      <c r="B5" s="298"/>
      <c r="C5" s="300"/>
      <c r="D5" s="85"/>
      <c r="E5" s="87"/>
      <c r="F5" s="87"/>
      <c r="G5" s="87"/>
      <c r="H5" s="87"/>
      <c r="I5" s="88"/>
      <c r="J5" s="306"/>
      <c r="K5" s="307"/>
      <c r="L5" s="309"/>
      <c r="M5" s="92" t="s">
        <v>57</v>
      </c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</row>
    <row r="6" spans="1:83" s="91" customFormat="1">
      <c r="A6" s="93"/>
      <c r="B6" s="88"/>
      <c r="C6" s="89"/>
      <c r="D6" s="88"/>
      <c r="E6" s="88"/>
      <c r="F6" s="88"/>
      <c r="G6" s="88"/>
      <c r="H6" s="88"/>
      <c r="I6" s="88"/>
      <c r="J6" s="88"/>
      <c r="K6" s="88"/>
      <c r="L6" s="89"/>
      <c r="M6" s="90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</row>
    <row r="7" spans="1:83" s="84" customFormat="1" ht="30.75" customHeight="1">
      <c r="A7" s="94" t="s">
        <v>1</v>
      </c>
      <c r="B7" s="95" t="s">
        <v>2</v>
      </c>
      <c r="C7" s="95" t="s">
        <v>3</v>
      </c>
      <c r="D7" s="94"/>
      <c r="E7" s="96"/>
      <c r="F7" s="95"/>
      <c r="G7" s="97"/>
      <c r="H7" s="98"/>
      <c r="I7" s="99"/>
      <c r="J7" s="99"/>
      <c r="K7" s="100" t="s">
        <v>10</v>
      </c>
      <c r="L7" s="95" t="s">
        <v>58</v>
      </c>
      <c r="M7" s="101"/>
      <c r="N7" s="102"/>
      <c r="O7" s="102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</row>
    <row r="8" spans="1:83" s="84" customFormat="1" ht="15.75">
      <c r="A8" s="88"/>
      <c r="B8" s="88"/>
      <c r="C8" s="89"/>
      <c r="D8" s="103"/>
      <c r="E8" s="104"/>
      <c r="F8" s="105"/>
      <c r="G8" s="106"/>
      <c r="H8" s="107"/>
      <c r="I8" s="105"/>
      <c r="J8" s="105"/>
      <c r="K8" s="105"/>
      <c r="L8" s="89"/>
      <c r="M8" s="88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</row>
    <row r="9" spans="1:83" s="84" customFormat="1" ht="18.75">
      <c r="A9" s="291" t="s">
        <v>59</v>
      </c>
      <c r="B9" s="292"/>
      <c r="C9" s="292"/>
      <c r="D9" s="292"/>
      <c r="E9" s="292"/>
      <c r="F9" s="292"/>
      <c r="G9" s="292"/>
      <c r="H9" s="292"/>
      <c r="I9" s="292"/>
      <c r="J9" s="292"/>
      <c r="K9" s="292"/>
      <c r="L9" s="292"/>
      <c r="M9" s="109">
        <f>SUM(K10:K35)</f>
        <v>0.44</v>
      </c>
      <c r="N9" s="102"/>
      <c r="O9" s="102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</row>
    <row r="10" spans="1:83" s="84" customFormat="1" ht="15.75">
      <c r="A10" s="110"/>
      <c r="B10" s="111"/>
      <c r="C10" s="89"/>
      <c r="D10" s="112"/>
      <c r="E10" s="112"/>
      <c r="F10" s="113"/>
      <c r="G10" s="114"/>
      <c r="H10" s="115"/>
      <c r="I10" s="116"/>
      <c r="J10" s="117"/>
      <c r="K10" s="118"/>
      <c r="L10" s="119"/>
      <c r="M10" s="90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  <c r="BO10" s="102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</row>
    <row r="11" spans="1:83" s="84" customFormat="1" ht="15.75">
      <c r="A11" s="110" t="str">
        <f>IF(F11&lt;&gt;"",1+MAX($A$2:A10),"")</f>
        <v/>
      </c>
      <c r="B11" s="120"/>
      <c r="C11" s="121" t="s">
        <v>60</v>
      </c>
      <c r="D11" s="112"/>
      <c r="E11" s="112"/>
      <c r="F11" s="113"/>
      <c r="G11" s="114"/>
      <c r="H11" s="115"/>
      <c r="I11" s="116"/>
      <c r="J11" s="117"/>
      <c r="K11" s="118"/>
      <c r="L11" s="119"/>
      <c r="M11" s="90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</row>
    <row r="12" spans="1:83" s="108" customFormat="1" ht="23.25">
      <c r="A12" s="110" t="str">
        <f>IF(F12&lt;&gt;"",1+MAX($A$2:A11),"")</f>
        <v/>
      </c>
      <c r="B12" s="120"/>
      <c r="C12" s="122" t="s">
        <v>61</v>
      </c>
      <c r="D12" s="123"/>
      <c r="E12" s="123"/>
      <c r="F12" s="124"/>
      <c r="G12" s="114"/>
      <c r="H12" s="115"/>
      <c r="I12" s="116"/>
      <c r="J12" s="117"/>
      <c r="K12" s="125">
        <f>ESTIMATE!P7</f>
        <v>0</v>
      </c>
      <c r="L12" s="126">
        <f>K12/L4</f>
        <v>0</v>
      </c>
      <c r="M12" s="90"/>
      <c r="N12" s="102"/>
      <c r="O12" s="102"/>
      <c r="P12" s="102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  <c r="BO12" s="102"/>
      <c r="BP12" s="102"/>
      <c r="BQ12" s="102"/>
      <c r="BR12" s="102"/>
      <c r="BS12" s="102"/>
      <c r="BT12" s="102"/>
      <c r="BU12" s="102"/>
      <c r="BV12" s="102"/>
    </row>
    <row r="13" spans="1:83" s="108" customFormat="1" ht="23.25">
      <c r="A13" s="110" t="str">
        <f>IF(F13&lt;&gt;"",1+MAX($A$2:A12),"")</f>
        <v/>
      </c>
      <c r="B13" s="120"/>
      <c r="C13" s="122" t="s">
        <v>62</v>
      </c>
      <c r="D13" s="123"/>
      <c r="E13" s="123"/>
      <c r="F13" s="124"/>
      <c r="G13" s="114"/>
      <c r="H13" s="115"/>
      <c r="I13" s="127"/>
      <c r="J13" s="117"/>
      <c r="K13" s="125">
        <f>0</f>
        <v>0</v>
      </c>
      <c r="L13" s="126">
        <f>K13/L4</f>
        <v>0</v>
      </c>
      <c r="M13" s="90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</row>
    <row r="14" spans="1:83" s="108" customFormat="1" ht="23.25">
      <c r="A14" s="110" t="str">
        <f>IF(F14&lt;&gt;"",1+MAX($A$2:A13),"")</f>
        <v/>
      </c>
      <c r="B14" s="120"/>
      <c r="C14" s="122" t="s">
        <v>63</v>
      </c>
      <c r="D14" s="123"/>
      <c r="E14" s="123"/>
      <c r="F14" s="124"/>
      <c r="G14" s="114"/>
      <c r="H14" s="115"/>
      <c r="I14" s="116"/>
      <c r="J14" s="117"/>
      <c r="K14" s="125">
        <f>ESTIMATE!P24</f>
        <v>0</v>
      </c>
      <c r="L14" s="126">
        <f>K14/L4</f>
        <v>0</v>
      </c>
      <c r="M14" s="90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  <c r="BO14" s="102"/>
      <c r="BP14" s="102"/>
      <c r="BQ14" s="102"/>
      <c r="BR14" s="102"/>
      <c r="BS14" s="102"/>
      <c r="BT14" s="102"/>
      <c r="BU14" s="102"/>
      <c r="BV14" s="102"/>
    </row>
    <row r="15" spans="1:83" s="108" customFormat="1" ht="23.25">
      <c r="A15" s="110" t="str">
        <f>IF(F15&lt;&gt;"",1+MAX($A$2:A14),"")</f>
        <v/>
      </c>
      <c r="B15" s="120"/>
      <c r="C15" s="122" t="s">
        <v>64</v>
      </c>
      <c r="D15" s="123"/>
      <c r="E15" s="123"/>
      <c r="F15" s="124"/>
      <c r="G15" s="114"/>
      <c r="H15" s="115"/>
      <c r="I15" s="127"/>
      <c r="J15" s="117"/>
      <c r="K15" s="125">
        <f>SUMMARY!P155</f>
        <v>0</v>
      </c>
      <c r="L15" s="126">
        <f>K15/L4</f>
        <v>0</v>
      </c>
      <c r="M15" s="90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  <c r="BO15" s="102"/>
      <c r="BP15" s="102"/>
      <c r="BQ15" s="102"/>
      <c r="BR15" s="102"/>
      <c r="BS15" s="102"/>
      <c r="BT15" s="102"/>
      <c r="BU15" s="102"/>
      <c r="BV15" s="102"/>
    </row>
    <row r="16" spans="1:83" s="108" customFormat="1" ht="23.25">
      <c r="A16" s="110" t="str">
        <f>IF(F16&lt;&gt;"",1+MAX($A$2:A15),"")</f>
        <v/>
      </c>
      <c r="B16" s="120"/>
      <c r="C16" s="122" t="s">
        <v>65</v>
      </c>
      <c r="D16" s="123"/>
      <c r="E16" s="123"/>
      <c r="F16" s="124"/>
      <c r="G16" s="114"/>
      <c r="H16" s="115"/>
      <c r="I16" s="116"/>
      <c r="J16" s="117"/>
      <c r="K16" s="125">
        <f>SUMMARY!P168</f>
        <v>0</v>
      </c>
      <c r="L16" s="128">
        <f>K16/L4</f>
        <v>0</v>
      </c>
      <c r="M16" s="90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</row>
    <row r="17" spans="1:74" s="108" customFormat="1" ht="23.25">
      <c r="A17" s="110" t="str">
        <f>IF(F17&lt;&gt;"",1+MAX($A$2:A16),"")</f>
        <v/>
      </c>
      <c r="B17" s="120"/>
      <c r="C17" s="122" t="s">
        <v>66</v>
      </c>
      <c r="D17" s="123"/>
      <c r="E17" s="123"/>
      <c r="F17" s="124"/>
      <c r="G17" s="114"/>
      <c r="H17" s="115"/>
      <c r="I17" s="116"/>
      <c r="J17" s="117"/>
      <c r="K17" s="125">
        <f>ESTIMATE!P263</f>
        <v>0</v>
      </c>
      <c r="L17" s="126">
        <f>K17/L4</f>
        <v>0</v>
      </c>
      <c r="M17" s="90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  <c r="BO17" s="102"/>
      <c r="BP17" s="102"/>
      <c r="BQ17" s="102"/>
      <c r="BR17" s="102"/>
      <c r="BS17" s="102"/>
      <c r="BT17" s="102"/>
      <c r="BU17" s="102"/>
      <c r="BV17" s="102"/>
    </row>
    <row r="18" spans="1:74" s="108" customFormat="1" ht="23.25">
      <c r="A18" s="110" t="str">
        <f>IF(F18&lt;&gt;"",1+MAX($A$2:A17),"")</f>
        <v/>
      </c>
      <c r="B18" s="120"/>
      <c r="C18" s="122" t="s">
        <v>67</v>
      </c>
      <c r="D18" s="123"/>
      <c r="E18" s="123"/>
      <c r="F18" s="124"/>
      <c r="G18" s="114"/>
      <c r="H18" s="115"/>
      <c r="I18" s="116"/>
      <c r="J18" s="117"/>
      <c r="K18" s="125">
        <f>ESTIMATE!P288</f>
        <v>0.22</v>
      </c>
      <c r="L18" s="126">
        <f>K18/L4</f>
        <v>1.8333333333333333E-2</v>
      </c>
      <c r="M18" s="90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  <c r="BO18" s="102"/>
      <c r="BP18" s="102"/>
      <c r="BQ18" s="102"/>
      <c r="BR18" s="102"/>
      <c r="BS18" s="102"/>
      <c r="BT18" s="102"/>
      <c r="BU18" s="102"/>
      <c r="BV18" s="102"/>
    </row>
    <row r="19" spans="1:74" s="108" customFormat="1" ht="23.25">
      <c r="A19" s="110" t="str">
        <f>IF(F19&lt;&gt;"",1+MAX($A$2:A18),"")</f>
        <v/>
      </c>
      <c r="B19" s="120"/>
      <c r="C19" s="122" t="s">
        <v>68</v>
      </c>
      <c r="D19" s="123"/>
      <c r="E19" s="123"/>
      <c r="F19" s="124"/>
      <c r="G19" s="114"/>
      <c r="H19" s="115"/>
      <c r="I19" s="116"/>
      <c r="J19" s="117"/>
      <c r="K19" s="125">
        <f>ESTIMATE!P311</f>
        <v>0</v>
      </c>
      <c r="L19" s="126">
        <f>K19/L4</f>
        <v>0</v>
      </c>
      <c r="M19" s="90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  <c r="BO19" s="102"/>
      <c r="BP19" s="102"/>
      <c r="BQ19" s="102"/>
      <c r="BR19" s="102"/>
      <c r="BS19" s="102"/>
      <c r="BT19" s="102"/>
      <c r="BU19" s="102"/>
      <c r="BV19" s="102"/>
    </row>
    <row r="20" spans="1:74" s="108" customFormat="1" ht="23.25">
      <c r="A20" s="110" t="str">
        <f>IF(F20&lt;&gt;"",1+MAX($A$2:A19),"")</f>
        <v/>
      </c>
      <c r="B20" s="120"/>
      <c r="C20" s="122" t="s">
        <v>69</v>
      </c>
      <c r="D20" s="123"/>
      <c r="E20" s="123"/>
      <c r="F20" s="124"/>
      <c r="G20" s="114"/>
      <c r="H20" s="115"/>
      <c r="I20" s="129"/>
      <c r="J20" s="117"/>
      <c r="K20" s="125">
        <f>ESTIMATE!P381</f>
        <v>0.22</v>
      </c>
      <c r="L20" s="126">
        <f>K20/L4</f>
        <v>1.8333333333333333E-2</v>
      </c>
      <c r="M20" s="90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  <c r="BM20" s="102"/>
      <c r="BN20" s="102"/>
      <c r="BO20" s="102"/>
      <c r="BP20" s="102"/>
      <c r="BQ20" s="102"/>
      <c r="BR20" s="102"/>
      <c r="BS20" s="102"/>
      <c r="BT20" s="102"/>
      <c r="BU20" s="102"/>
      <c r="BV20" s="102"/>
    </row>
    <row r="21" spans="1:74" s="108" customFormat="1" ht="23.25">
      <c r="A21" s="110" t="str">
        <f>IF(F21&lt;&gt;"",1+MAX($A$2:A20),"")</f>
        <v/>
      </c>
      <c r="B21" s="130"/>
      <c r="C21" s="122" t="s">
        <v>70</v>
      </c>
      <c r="D21" s="123"/>
      <c r="E21" s="123"/>
      <c r="F21" s="124"/>
      <c r="G21" s="114"/>
      <c r="H21" s="115"/>
      <c r="I21" s="129"/>
      <c r="J21" s="117"/>
      <c r="K21" s="125">
        <f>ESTIMATE!P438</f>
        <v>0</v>
      </c>
      <c r="L21" s="126">
        <f>K21/L4</f>
        <v>0</v>
      </c>
      <c r="M21" s="90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  <c r="BO21" s="102"/>
      <c r="BP21" s="102"/>
      <c r="BQ21" s="102"/>
      <c r="BR21" s="102"/>
      <c r="BS21" s="102"/>
      <c r="BT21" s="102"/>
      <c r="BU21" s="102"/>
      <c r="BV21" s="102"/>
    </row>
    <row r="22" spans="1:74" s="108" customFormat="1" ht="23.25">
      <c r="A22" s="110" t="str">
        <f>IF(F22&lt;&gt;"",1+MAX($A$2:A21),"")</f>
        <v/>
      </c>
      <c r="B22" s="130"/>
      <c r="C22" s="122" t="s">
        <v>71</v>
      </c>
      <c r="D22" s="123"/>
      <c r="E22" s="123"/>
      <c r="F22" s="124"/>
      <c r="G22" s="114"/>
      <c r="H22" s="115"/>
      <c r="I22" s="129"/>
      <c r="J22" s="117"/>
      <c r="K22" s="125">
        <f>ESTIMATE!P451</f>
        <v>0</v>
      </c>
      <c r="L22" s="126">
        <f>K22/L4</f>
        <v>0</v>
      </c>
      <c r="M22" s="90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</row>
    <row r="23" spans="1:74" s="108" customFormat="1" ht="23.25">
      <c r="A23" s="110" t="str">
        <f>IF(F23&lt;&gt;"",1+MAX($A$2:A22),"")</f>
        <v/>
      </c>
      <c r="B23" s="130"/>
      <c r="C23" s="122" t="s">
        <v>72</v>
      </c>
      <c r="D23" s="123"/>
      <c r="E23" s="123"/>
      <c r="F23" s="124"/>
      <c r="G23" s="114"/>
      <c r="H23" s="115"/>
      <c r="I23" s="129"/>
      <c r="J23" s="117"/>
      <c r="K23" s="125">
        <f>ESTIMATE!P461</f>
        <v>0</v>
      </c>
      <c r="L23" s="126">
        <f>K23/L4</f>
        <v>0</v>
      </c>
      <c r="M23" s="90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  <c r="BO23" s="102"/>
      <c r="BP23" s="102"/>
      <c r="BQ23" s="102"/>
      <c r="BR23" s="102"/>
      <c r="BS23" s="102"/>
      <c r="BT23" s="102"/>
      <c r="BU23" s="102"/>
      <c r="BV23" s="102"/>
    </row>
    <row r="24" spans="1:74" s="108" customFormat="1" ht="23.25">
      <c r="A24" s="110" t="str">
        <f>IF(F24&lt;&gt;"",1+MAX($A$2:A23),"")</f>
        <v/>
      </c>
      <c r="B24" s="130"/>
      <c r="C24" s="122" t="s">
        <v>73</v>
      </c>
      <c r="D24" s="123"/>
      <c r="E24" s="123"/>
      <c r="F24" s="124"/>
      <c r="G24" s="114"/>
      <c r="H24" s="115"/>
      <c r="I24" s="129"/>
      <c r="J24" s="117"/>
      <c r="K24" s="125">
        <v>0</v>
      </c>
      <c r="L24" s="126">
        <f>K24/L4</f>
        <v>0</v>
      </c>
      <c r="M24" s="90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  <c r="BO24" s="102"/>
      <c r="BP24" s="102"/>
      <c r="BQ24" s="102"/>
      <c r="BR24" s="102"/>
      <c r="BS24" s="102"/>
      <c r="BT24" s="102"/>
      <c r="BU24" s="102"/>
      <c r="BV24" s="102"/>
    </row>
    <row r="25" spans="1:74" s="108" customFormat="1" ht="23.25">
      <c r="A25" s="110" t="str">
        <f>IF(F25&lt;&gt;"",1+MAX($A$2:A24),"")</f>
        <v/>
      </c>
      <c r="B25" s="130"/>
      <c r="C25" s="122" t="s">
        <v>74</v>
      </c>
      <c r="D25" s="123"/>
      <c r="E25" s="123"/>
      <c r="F25" s="124"/>
      <c r="G25" s="114"/>
      <c r="H25" s="115"/>
      <c r="I25" s="129"/>
      <c r="J25" s="117"/>
      <c r="K25" s="125">
        <f>ESTIMATE!P484</f>
        <v>0</v>
      </c>
      <c r="L25" s="126">
        <f>K25/L4</f>
        <v>0</v>
      </c>
      <c r="M25" s="90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</row>
    <row r="26" spans="1:74" s="108" customFormat="1" ht="23.25">
      <c r="A26" s="110" t="str">
        <f>IF(F26&lt;&gt;"",1+MAX($A$2:A25),"")</f>
        <v/>
      </c>
      <c r="B26" s="130"/>
      <c r="C26" s="122" t="s">
        <v>75</v>
      </c>
      <c r="D26" s="123"/>
      <c r="E26" s="123"/>
      <c r="F26" s="124"/>
      <c r="G26" s="114"/>
      <c r="H26" s="115"/>
      <c r="I26" s="129"/>
      <c r="J26" s="117"/>
      <c r="K26" s="125">
        <v>0</v>
      </c>
      <c r="L26" s="126">
        <f>K26/L4</f>
        <v>0</v>
      </c>
      <c r="M26" s="90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102"/>
      <c r="BG26" s="102"/>
      <c r="BH26" s="102"/>
      <c r="BI26" s="102"/>
      <c r="BJ26" s="102"/>
      <c r="BK26" s="102"/>
      <c r="BL26" s="102"/>
      <c r="BM26" s="102"/>
      <c r="BN26" s="102"/>
      <c r="BO26" s="102"/>
      <c r="BP26" s="102"/>
      <c r="BQ26" s="102"/>
      <c r="BR26" s="102"/>
      <c r="BS26" s="102"/>
      <c r="BT26" s="102"/>
      <c r="BU26" s="102"/>
      <c r="BV26" s="102"/>
    </row>
    <row r="27" spans="1:74" s="108" customFormat="1" ht="23.25">
      <c r="A27" s="110" t="str">
        <f>IF(F27&lt;&gt;"",1+MAX($A$2:A26),"")</f>
        <v/>
      </c>
      <c r="B27" s="130"/>
      <c r="C27" s="122" t="s">
        <v>76</v>
      </c>
      <c r="D27" s="123"/>
      <c r="E27" s="123"/>
      <c r="F27" s="124"/>
      <c r="G27" s="114"/>
      <c r="H27" s="115"/>
      <c r="I27" s="129"/>
      <c r="J27" s="117"/>
      <c r="K27" s="125">
        <f>ESTIMATE!P517</f>
        <v>0</v>
      </c>
      <c r="L27" s="126">
        <f>K27/L4</f>
        <v>0</v>
      </c>
      <c r="M27" s="90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  <c r="BO27" s="102"/>
      <c r="BP27" s="102"/>
      <c r="BQ27" s="102"/>
      <c r="BR27" s="102"/>
      <c r="BS27" s="102"/>
      <c r="BT27" s="102"/>
      <c r="BU27" s="102"/>
      <c r="BV27" s="102"/>
    </row>
    <row r="28" spans="1:74" s="108" customFormat="1" ht="46.5">
      <c r="A28" s="110" t="str">
        <f>IF(F28&lt;&gt;"",1+MAX($A$2:A27),"")</f>
        <v/>
      </c>
      <c r="B28" s="130"/>
      <c r="C28" s="122" t="s">
        <v>77</v>
      </c>
      <c r="D28" s="123"/>
      <c r="E28" s="123"/>
      <c r="F28" s="124"/>
      <c r="G28" s="114"/>
      <c r="H28" s="115"/>
      <c r="I28" s="129"/>
      <c r="J28" s="117"/>
      <c r="K28" s="125">
        <f>ESTIMATE!P636</f>
        <v>0</v>
      </c>
      <c r="L28" s="126">
        <f>K28/L4</f>
        <v>0</v>
      </c>
      <c r="M28" s="90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</row>
    <row r="29" spans="1:74" s="108" customFormat="1" ht="23.25">
      <c r="A29" s="110" t="str">
        <f>IF(F29&lt;&gt;"",1+MAX($A$2:A28),"")</f>
        <v/>
      </c>
      <c r="B29" s="130"/>
      <c r="C29" s="122" t="s">
        <v>78</v>
      </c>
      <c r="D29" s="123"/>
      <c r="E29" s="123"/>
      <c r="F29" s="124"/>
      <c r="G29" s="114"/>
      <c r="H29" s="115"/>
      <c r="I29" s="129"/>
      <c r="J29" s="117"/>
      <c r="K29" s="125">
        <f>ESTIMATE!P847</f>
        <v>0</v>
      </c>
      <c r="L29" s="126">
        <f>K29/L4</f>
        <v>0</v>
      </c>
      <c r="M29" s="90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</row>
    <row r="30" spans="1:74" s="108" customFormat="1" ht="23.25">
      <c r="A30" s="110" t="str">
        <f>IF(F30&lt;&gt;"",1+MAX($A$2:A29),"")</f>
        <v/>
      </c>
      <c r="B30" s="130"/>
      <c r="C30" s="122" t="s">
        <v>79</v>
      </c>
      <c r="D30" s="123"/>
      <c r="E30" s="123"/>
      <c r="F30" s="124"/>
      <c r="G30" s="114"/>
      <c r="H30" s="115"/>
      <c r="I30" s="129"/>
      <c r="J30" s="117"/>
      <c r="K30" s="125">
        <v>0</v>
      </c>
      <c r="L30" s="126">
        <f>K30/L4</f>
        <v>0</v>
      </c>
      <c r="M30" s="90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</row>
    <row r="31" spans="1:74" s="108" customFormat="1" ht="23.25">
      <c r="A31" s="110" t="str">
        <f>IF(E31&lt;&gt;"",1+MAX($A$2:A30),"")</f>
        <v/>
      </c>
      <c r="B31" s="130"/>
      <c r="C31" s="122" t="s">
        <v>80</v>
      </c>
      <c r="D31" s="123"/>
      <c r="E31" s="123"/>
      <c r="F31" s="124"/>
      <c r="G31" s="114"/>
      <c r="H31" s="115"/>
      <c r="I31" s="129"/>
      <c r="J31" s="117"/>
      <c r="K31" s="125">
        <v>0</v>
      </c>
      <c r="L31" s="126">
        <f>K31/L4</f>
        <v>0</v>
      </c>
      <c r="M31" s="90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</row>
    <row r="32" spans="1:74" s="108" customFormat="1" ht="23.25">
      <c r="A32" s="110" t="str">
        <f>IF(E32&lt;&gt;"",1+MAX($A$2:A31),"")</f>
        <v/>
      </c>
      <c r="B32" s="130"/>
      <c r="C32" s="122" t="s">
        <v>81</v>
      </c>
      <c r="D32" s="123"/>
      <c r="E32" s="123"/>
      <c r="F32" s="124"/>
      <c r="G32" s="114"/>
      <c r="H32" s="115"/>
      <c r="I32" s="129"/>
      <c r="J32" s="117"/>
      <c r="K32" s="125">
        <f>ESTIMATE!P988</f>
        <v>0</v>
      </c>
      <c r="L32" s="126">
        <f>K32/L4</f>
        <v>0</v>
      </c>
      <c r="M32" s="90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</row>
    <row r="33" spans="1:83" s="108" customFormat="1" ht="23.25">
      <c r="A33" s="110" t="str">
        <f>IF(E33&lt;&gt;"",1+MAX($A$2:A32),"")</f>
        <v/>
      </c>
      <c r="B33" s="130"/>
      <c r="C33" s="122" t="s">
        <v>82</v>
      </c>
      <c r="D33" s="123"/>
      <c r="E33" s="123"/>
      <c r="F33" s="124"/>
      <c r="G33" s="114"/>
      <c r="H33" s="115"/>
      <c r="I33" s="129"/>
      <c r="J33" s="117"/>
      <c r="K33" s="125">
        <f>ESTIMATE!P994</f>
        <v>0</v>
      </c>
      <c r="L33" s="126">
        <f>K33/L4</f>
        <v>0</v>
      </c>
      <c r="M33" s="90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</row>
    <row r="34" spans="1:83" s="108" customFormat="1" ht="23.25">
      <c r="A34" s="110" t="str">
        <f>IF(E34&lt;&gt;"",1+MAX($A$2:A33),"")</f>
        <v/>
      </c>
      <c r="B34" s="130"/>
      <c r="C34" s="122" t="s">
        <v>83</v>
      </c>
      <c r="D34" s="123"/>
      <c r="E34" s="123"/>
      <c r="F34" s="124"/>
      <c r="G34" s="114"/>
      <c r="H34" s="115"/>
      <c r="I34" s="129"/>
      <c r="J34" s="117"/>
      <c r="K34" s="125">
        <v>0</v>
      </c>
      <c r="L34" s="126">
        <f>K34/L4</f>
        <v>0</v>
      </c>
      <c r="M34" s="90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</row>
    <row r="35" spans="1:83" s="108" customFormat="1" ht="15.75">
      <c r="A35" s="131"/>
      <c r="B35" s="132"/>
      <c r="C35" s="133"/>
      <c r="D35" s="134"/>
      <c r="E35" s="134"/>
      <c r="F35" s="135"/>
      <c r="G35" s="136"/>
      <c r="H35" s="137"/>
      <c r="I35" s="138"/>
      <c r="J35" s="139"/>
      <c r="K35" s="140"/>
      <c r="L35" s="141"/>
      <c r="M35" s="14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  <c r="BO35" s="102"/>
      <c r="BP35" s="102"/>
      <c r="BQ35" s="102"/>
      <c r="BR35" s="102"/>
      <c r="BS35" s="102"/>
      <c r="BT35" s="102"/>
      <c r="BU35" s="102"/>
      <c r="BV35" s="102"/>
    </row>
    <row r="36" spans="1:83" s="108" customFormat="1" ht="16.5" thickBot="1">
      <c r="A36" s="88"/>
      <c r="B36" s="88"/>
      <c r="C36" s="88"/>
      <c r="D36" s="88"/>
      <c r="E36" s="88"/>
      <c r="F36" s="88"/>
      <c r="G36" s="143"/>
      <c r="H36" s="88"/>
      <c r="I36" s="88"/>
      <c r="J36" s="88"/>
      <c r="K36" s="88"/>
      <c r="L36" s="88"/>
      <c r="M36" s="90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2"/>
      <c r="AU36" s="102"/>
      <c r="AV36" s="102"/>
      <c r="AW36" s="102"/>
      <c r="AX36" s="102"/>
      <c r="AY36" s="102"/>
      <c r="AZ36" s="102"/>
      <c r="BA36" s="102"/>
      <c r="BB36" s="102"/>
      <c r="BC36" s="102"/>
      <c r="BD36" s="102"/>
      <c r="BE36" s="102"/>
      <c r="BF36" s="102"/>
      <c r="BG36" s="102"/>
      <c r="BH36" s="102"/>
      <c r="BI36" s="102"/>
      <c r="BJ36" s="102"/>
      <c r="BK36" s="102"/>
      <c r="BL36" s="102"/>
      <c r="BM36" s="102"/>
      <c r="BN36" s="102"/>
      <c r="BO36" s="102"/>
      <c r="BP36" s="102"/>
      <c r="BQ36" s="102"/>
      <c r="BR36" s="102"/>
      <c r="BS36" s="102"/>
      <c r="BT36" s="102"/>
      <c r="BU36" s="102"/>
      <c r="BV36" s="102"/>
    </row>
    <row r="37" spans="1:83" s="84" customFormat="1" ht="16.5" thickBot="1">
      <c r="A37" s="144" t="s">
        <v>15</v>
      </c>
      <c r="B37" s="145"/>
      <c r="C37" s="146"/>
      <c r="D37" s="146"/>
      <c r="E37" s="146"/>
      <c r="F37" s="146"/>
      <c r="G37" s="146"/>
      <c r="H37" s="146"/>
      <c r="I37" s="147"/>
      <c r="J37" s="147"/>
      <c r="K37" s="147"/>
      <c r="L37" s="147"/>
      <c r="M37" s="148">
        <f>SUM(M9:M35)</f>
        <v>0.44</v>
      </c>
      <c r="N37" s="149"/>
      <c r="O37" s="149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  <c r="BO37" s="102"/>
      <c r="BP37" s="102"/>
      <c r="BQ37" s="102"/>
      <c r="BR37" s="102"/>
      <c r="BS37" s="102"/>
      <c r="BT37" s="102"/>
      <c r="BU37" s="102"/>
      <c r="BV37" s="102"/>
      <c r="BW37" s="108"/>
      <c r="BX37" s="108"/>
      <c r="BY37" s="108"/>
      <c r="BZ37" s="108"/>
      <c r="CA37" s="108"/>
      <c r="CB37" s="108"/>
      <c r="CC37" s="108"/>
      <c r="CD37" s="108"/>
      <c r="CE37" s="108"/>
    </row>
    <row r="38" spans="1:83" s="84" customFormat="1" ht="16.5" thickBot="1">
      <c r="A38" s="144" t="s">
        <v>26</v>
      </c>
      <c r="B38" s="145"/>
      <c r="C38" s="146"/>
      <c r="D38" s="66">
        <v>7.0000000000000007E-2</v>
      </c>
      <c r="E38" s="146"/>
      <c r="F38" s="147"/>
      <c r="G38" s="147"/>
      <c r="H38" s="147"/>
      <c r="I38" s="150"/>
      <c r="J38" s="147"/>
      <c r="K38" s="147"/>
      <c r="L38" s="147"/>
      <c r="M38" s="148">
        <f>M37*D38</f>
        <v>3.0800000000000004E-2</v>
      </c>
      <c r="N38" s="102"/>
      <c r="O38" s="102"/>
      <c r="P38" s="102"/>
      <c r="Q38" s="102"/>
      <c r="R38" s="102"/>
      <c r="S38" s="102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02"/>
      <c r="AV38" s="102"/>
      <c r="AW38" s="102"/>
      <c r="AX38" s="102"/>
      <c r="AY38" s="102"/>
      <c r="AZ38" s="102"/>
      <c r="BA38" s="102"/>
      <c r="BB38" s="102"/>
      <c r="BC38" s="102"/>
      <c r="BD38" s="102"/>
      <c r="BE38" s="102"/>
      <c r="BF38" s="102"/>
      <c r="BG38" s="102"/>
      <c r="BH38" s="102"/>
      <c r="BI38" s="102"/>
      <c r="BJ38" s="102"/>
      <c r="BK38" s="102"/>
      <c r="BL38" s="102"/>
      <c r="BM38" s="102"/>
      <c r="BN38" s="102"/>
      <c r="BO38" s="102"/>
      <c r="BP38" s="102"/>
      <c r="BQ38" s="102"/>
      <c r="BR38" s="102"/>
      <c r="BS38" s="102"/>
      <c r="BT38" s="102"/>
      <c r="BU38" s="102"/>
      <c r="BV38" s="102"/>
      <c r="BW38" s="108"/>
      <c r="BX38" s="108"/>
      <c r="BY38" s="108"/>
      <c r="BZ38" s="108"/>
      <c r="CA38" s="108"/>
      <c r="CB38" s="108"/>
      <c r="CC38" s="108"/>
      <c r="CD38" s="108"/>
      <c r="CE38" s="108"/>
    </row>
    <row r="39" spans="1:83" s="84" customFormat="1" ht="16.5" thickBot="1">
      <c r="A39" s="144" t="s">
        <v>16</v>
      </c>
      <c r="B39" s="145"/>
      <c r="C39" s="146"/>
      <c r="D39" s="66">
        <v>0.15</v>
      </c>
      <c r="E39" s="146"/>
      <c r="F39" s="147"/>
      <c r="G39" s="147"/>
      <c r="H39" s="147"/>
      <c r="I39" s="150"/>
      <c r="J39" s="147"/>
      <c r="K39" s="147"/>
      <c r="L39" s="147"/>
      <c r="M39" s="148">
        <f>M37*D39</f>
        <v>6.6000000000000003E-2</v>
      </c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  <c r="AK39" s="102"/>
      <c r="AL39" s="102"/>
      <c r="AM39" s="102"/>
      <c r="AN39" s="102"/>
      <c r="AO39" s="102"/>
      <c r="AP39" s="102"/>
      <c r="AQ39" s="102"/>
      <c r="AR39" s="102"/>
      <c r="AS39" s="102"/>
      <c r="AT39" s="102"/>
      <c r="AU39" s="102"/>
      <c r="AV39" s="102"/>
      <c r="AW39" s="102"/>
      <c r="AX39" s="102"/>
      <c r="AY39" s="102"/>
      <c r="AZ39" s="102"/>
      <c r="BA39" s="102"/>
      <c r="BB39" s="102"/>
      <c r="BC39" s="102"/>
      <c r="BD39" s="102"/>
      <c r="BE39" s="102"/>
      <c r="BF39" s="102"/>
      <c r="BG39" s="102"/>
      <c r="BH39" s="102"/>
      <c r="BI39" s="102"/>
      <c r="BJ39" s="102"/>
      <c r="BK39" s="102"/>
      <c r="BL39" s="102"/>
      <c r="BM39" s="102"/>
      <c r="BN39" s="102"/>
      <c r="BO39" s="102"/>
      <c r="BP39" s="102"/>
      <c r="BQ39" s="102"/>
      <c r="BR39" s="102"/>
      <c r="BS39" s="102"/>
      <c r="BT39" s="102"/>
      <c r="BU39" s="102"/>
      <c r="BV39" s="102"/>
      <c r="BW39" s="108"/>
      <c r="BX39" s="108"/>
      <c r="BY39" s="108"/>
      <c r="BZ39" s="108"/>
      <c r="CA39" s="108"/>
      <c r="CB39" s="108"/>
      <c r="CC39" s="108"/>
      <c r="CD39" s="108"/>
      <c r="CE39" s="108"/>
    </row>
    <row r="40" spans="1:83" s="84" customFormat="1" ht="16.5" thickBot="1">
      <c r="A40" s="144" t="s">
        <v>17</v>
      </c>
      <c r="B40" s="145"/>
      <c r="C40" s="146"/>
      <c r="D40" s="66">
        <v>0</v>
      </c>
      <c r="E40" s="146"/>
      <c r="F40" s="147"/>
      <c r="G40" s="147"/>
      <c r="H40" s="147"/>
      <c r="I40" s="150"/>
      <c r="J40" s="147"/>
      <c r="K40" s="147"/>
      <c r="L40" s="147"/>
      <c r="M40" s="148">
        <f>M37*D40</f>
        <v>0</v>
      </c>
      <c r="N40" s="102"/>
      <c r="O40" s="102"/>
      <c r="P40" s="102"/>
      <c r="Q40" s="102"/>
      <c r="R40" s="102"/>
      <c r="S40" s="102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  <c r="AF40" s="102"/>
      <c r="AG40" s="102"/>
      <c r="AH40" s="102"/>
      <c r="AI40" s="102"/>
      <c r="AJ40" s="102"/>
      <c r="AK40" s="102"/>
      <c r="AL40" s="102"/>
      <c r="AM40" s="102"/>
      <c r="AN40" s="102"/>
      <c r="AO40" s="102"/>
      <c r="AP40" s="102"/>
      <c r="AQ40" s="102"/>
      <c r="AR40" s="102"/>
      <c r="AS40" s="102"/>
      <c r="AT40" s="102"/>
      <c r="AU40" s="102"/>
      <c r="AV40" s="102"/>
      <c r="AW40" s="102"/>
      <c r="AX40" s="102"/>
      <c r="AY40" s="102"/>
      <c r="AZ40" s="102"/>
      <c r="BA40" s="102"/>
      <c r="BB40" s="102"/>
      <c r="BC40" s="102"/>
      <c r="BD40" s="102"/>
      <c r="BE40" s="102"/>
      <c r="BF40" s="102"/>
      <c r="BG40" s="102"/>
      <c r="BH40" s="102"/>
      <c r="BI40" s="102"/>
      <c r="BJ40" s="102"/>
      <c r="BK40" s="102"/>
      <c r="BL40" s="102"/>
      <c r="BM40" s="102"/>
      <c r="BN40" s="102"/>
      <c r="BO40" s="102"/>
      <c r="BP40" s="102"/>
      <c r="BQ40" s="102"/>
      <c r="BR40" s="102"/>
      <c r="BS40" s="102"/>
      <c r="BT40" s="102"/>
      <c r="BU40" s="102"/>
      <c r="BV40" s="102"/>
      <c r="BW40" s="108"/>
      <c r="BX40" s="108"/>
      <c r="BY40" s="108"/>
      <c r="BZ40" s="108"/>
      <c r="CA40" s="108"/>
      <c r="CB40" s="108"/>
      <c r="CC40" s="108"/>
      <c r="CD40" s="108"/>
      <c r="CE40" s="108"/>
    </row>
    <row r="41" spans="1:83" s="84" customFormat="1" ht="16.5" thickBot="1">
      <c r="A41" s="144" t="s">
        <v>18</v>
      </c>
      <c r="B41" s="145"/>
      <c r="C41" s="146"/>
      <c r="D41" s="66">
        <v>0.01</v>
      </c>
      <c r="E41" s="146"/>
      <c r="F41" s="147"/>
      <c r="G41" s="147"/>
      <c r="H41" s="147"/>
      <c r="I41" s="150"/>
      <c r="J41" s="147"/>
      <c r="K41" s="147"/>
      <c r="L41" s="147"/>
      <c r="M41" s="148">
        <f>M37*D41</f>
        <v>4.4000000000000003E-3</v>
      </c>
      <c r="N41" s="102"/>
      <c r="O41" s="102"/>
      <c r="P41" s="151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102"/>
      <c r="BM41" s="102"/>
      <c r="BN41" s="102"/>
      <c r="BO41" s="102"/>
      <c r="BP41" s="102"/>
      <c r="BQ41" s="102"/>
      <c r="BR41" s="102"/>
      <c r="BS41" s="102"/>
      <c r="BT41" s="102"/>
      <c r="BU41" s="102"/>
      <c r="BV41" s="102"/>
      <c r="BW41" s="108"/>
      <c r="BX41" s="108"/>
      <c r="BY41" s="108"/>
      <c r="BZ41" s="108"/>
      <c r="CA41" s="108"/>
      <c r="CB41" s="108"/>
      <c r="CC41" s="108"/>
      <c r="CD41" s="108"/>
      <c r="CE41" s="108"/>
    </row>
    <row r="42" spans="1:83" s="84" customFormat="1" ht="16.5" thickBot="1">
      <c r="A42" s="144" t="s">
        <v>19</v>
      </c>
      <c r="B42" s="145"/>
      <c r="C42" s="146"/>
      <c r="D42" s="146"/>
      <c r="E42" s="146"/>
      <c r="F42" s="146"/>
      <c r="G42" s="146"/>
      <c r="H42" s="146"/>
      <c r="I42" s="146"/>
      <c r="J42" s="147"/>
      <c r="K42" s="147"/>
      <c r="L42" s="147"/>
      <c r="M42" s="148">
        <f>SUM(M37:M41)</f>
        <v>0.5411999999999999</v>
      </c>
      <c r="N42" s="151"/>
      <c r="O42" s="151"/>
      <c r="P42" s="102"/>
      <c r="Q42" s="102"/>
      <c r="R42" s="102"/>
      <c r="S42" s="102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  <c r="AK42" s="102"/>
      <c r="AL42" s="102"/>
      <c r="AM42" s="102"/>
      <c r="AN42" s="102"/>
      <c r="AO42" s="102"/>
      <c r="AP42" s="102"/>
      <c r="AQ42" s="102"/>
      <c r="AR42" s="102"/>
      <c r="AS42" s="102"/>
      <c r="AT42" s="102"/>
      <c r="AU42" s="102"/>
      <c r="AV42" s="102"/>
      <c r="AW42" s="102"/>
      <c r="AX42" s="102"/>
      <c r="AY42" s="102"/>
      <c r="AZ42" s="102"/>
      <c r="BA42" s="102"/>
      <c r="BB42" s="102"/>
      <c r="BC42" s="102"/>
      <c r="BD42" s="102"/>
      <c r="BE42" s="102"/>
      <c r="BF42" s="102"/>
      <c r="BG42" s="102"/>
      <c r="BH42" s="102"/>
      <c r="BI42" s="102"/>
      <c r="BJ42" s="102"/>
      <c r="BK42" s="102"/>
      <c r="BL42" s="102"/>
      <c r="BM42" s="102"/>
      <c r="BN42" s="102"/>
      <c r="BO42" s="102"/>
      <c r="BP42" s="102"/>
      <c r="BQ42" s="102"/>
      <c r="BR42" s="102"/>
      <c r="BS42" s="102"/>
      <c r="BT42" s="102"/>
      <c r="BU42" s="102"/>
      <c r="BV42" s="102"/>
      <c r="BW42" s="108"/>
      <c r="BX42" s="108"/>
      <c r="BY42" s="108"/>
      <c r="BZ42" s="108"/>
      <c r="CA42" s="108"/>
      <c r="CB42" s="108"/>
      <c r="CC42" s="108"/>
      <c r="CD42" s="108"/>
      <c r="CE42" s="108"/>
    </row>
    <row r="43" spans="1:83" s="84" customFormat="1" ht="15.75">
      <c r="A43" s="88" t="str">
        <f>IF(E43&lt;&gt;"",1+MAX(#REF!),"")</f>
        <v/>
      </c>
      <c r="B43" s="152"/>
      <c r="C43" s="153"/>
      <c r="D43" s="154"/>
      <c r="E43" s="155"/>
      <c r="F43" s="156"/>
      <c r="G43" s="157"/>
      <c r="H43" s="158"/>
      <c r="I43" s="157"/>
      <c r="J43" s="157"/>
      <c r="K43" s="159"/>
      <c r="L43" s="159"/>
      <c r="M43" s="83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2"/>
      <c r="AL43" s="102"/>
      <c r="AM43" s="102"/>
      <c r="AN43" s="102"/>
      <c r="AO43" s="102"/>
      <c r="AP43" s="102"/>
      <c r="AQ43" s="102"/>
      <c r="AR43" s="102"/>
      <c r="AS43" s="102"/>
      <c r="AT43" s="102"/>
      <c r="AU43" s="102"/>
      <c r="AV43" s="102"/>
      <c r="AW43" s="102"/>
      <c r="AX43" s="102"/>
      <c r="AY43" s="102"/>
      <c r="AZ43" s="102"/>
      <c r="BA43" s="102"/>
      <c r="BB43" s="102"/>
      <c r="BC43" s="102"/>
      <c r="BD43" s="102"/>
      <c r="BE43" s="102"/>
      <c r="BF43" s="102"/>
      <c r="BG43" s="102"/>
      <c r="BH43" s="102"/>
      <c r="BI43" s="102"/>
      <c r="BJ43" s="102"/>
      <c r="BK43" s="102"/>
      <c r="BL43" s="102"/>
      <c r="BM43" s="102"/>
      <c r="BN43" s="102"/>
      <c r="BO43" s="102"/>
      <c r="BP43" s="102"/>
      <c r="BQ43" s="102"/>
      <c r="BR43" s="102"/>
      <c r="BS43" s="102"/>
      <c r="BT43" s="102"/>
      <c r="BU43" s="102"/>
      <c r="BV43" s="102"/>
      <c r="BW43" s="108"/>
      <c r="BX43" s="108"/>
      <c r="BY43" s="108"/>
      <c r="BZ43" s="108"/>
      <c r="CA43" s="108"/>
      <c r="CB43" s="108"/>
      <c r="CC43" s="108"/>
      <c r="CD43" s="108"/>
      <c r="CE43" s="108"/>
    </row>
    <row r="44" spans="1:83" s="84" customFormat="1" ht="15.75">
      <c r="A44" s="88" t="str">
        <f>IF(E44&lt;&gt;"",1+MAX($A$43:A43),"")</f>
        <v/>
      </c>
      <c r="B44" s="152"/>
      <c r="C44" s="153"/>
      <c r="D44" s="154"/>
      <c r="E44" s="155"/>
      <c r="F44" s="156"/>
      <c r="G44" s="157"/>
      <c r="H44" s="158"/>
      <c r="I44" s="157"/>
      <c r="J44" s="157"/>
      <c r="K44" s="159"/>
      <c r="L44" s="159"/>
      <c r="M44" s="83"/>
      <c r="N44" s="102"/>
      <c r="O44" s="102"/>
      <c r="P44" s="102"/>
      <c r="Q44" s="102"/>
      <c r="R44" s="102"/>
      <c r="S44" s="102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102"/>
      <c r="AF44" s="102"/>
      <c r="AG44" s="102"/>
      <c r="AH44" s="102"/>
      <c r="AI44" s="102"/>
      <c r="AJ44" s="102"/>
      <c r="AK44" s="102"/>
      <c r="AL44" s="102"/>
      <c r="AM44" s="102"/>
      <c r="AN44" s="102"/>
      <c r="AO44" s="102"/>
      <c r="AP44" s="102"/>
      <c r="AQ44" s="102"/>
      <c r="AR44" s="102"/>
      <c r="AS44" s="102"/>
      <c r="AT44" s="102"/>
      <c r="AU44" s="102"/>
      <c r="AV44" s="102"/>
      <c r="AW44" s="102"/>
      <c r="AX44" s="102"/>
      <c r="AY44" s="102"/>
      <c r="AZ44" s="102"/>
      <c r="BA44" s="102"/>
      <c r="BB44" s="102"/>
      <c r="BC44" s="102"/>
      <c r="BD44" s="102"/>
      <c r="BE44" s="102"/>
      <c r="BF44" s="102"/>
      <c r="BG44" s="102"/>
      <c r="BH44" s="102"/>
      <c r="BI44" s="102"/>
      <c r="BJ44" s="102"/>
      <c r="BK44" s="102"/>
      <c r="BL44" s="102"/>
      <c r="BM44" s="102"/>
      <c r="BN44" s="102"/>
      <c r="BO44" s="102"/>
      <c r="BP44" s="102"/>
      <c r="BQ44" s="102"/>
      <c r="BR44" s="102"/>
      <c r="BS44" s="102"/>
      <c r="BT44" s="102"/>
      <c r="BU44" s="102"/>
      <c r="BV44" s="102"/>
      <c r="BW44" s="108"/>
      <c r="BX44" s="108"/>
      <c r="BY44" s="108"/>
      <c r="BZ44" s="108"/>
      <c r="CA44" s="108"/>
      <c r="CB44" s="108"/>
      <c r="CC44" s="108"/>
      <c r="CD44" s="108"/>
      <c r="CE44" s="108"/>
    </row>
    <row r="45" spans="1:83" s="84" customFormat="1" ht="15.75">
      <c r="A45" s="88" t="str">
        <f>IF(E45&lt;&gt;"",1+MAX($A$43:A44),"")</f>
        <v/>
      </c>
      <c r="B45" s="152"/>
      <c r="C45" s="153"/>
      <c r="D45" s="154"/>
      <c r="E45" s="155"/>
      <c r="F45" s="156"/>
      <c r="G45" s="157"/>
      <c r="H45" s="158"/>
      <c r="I45" s="157"/>
      <c r="J45" s="157"/>
      <c r="K45" s="159"/>
      <c r="L45" s="159"/>
      <c r="M45" s="83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2"/>
      <c r="AI45" s="102"/>
      <c r="AJ45" s="102"/>
      <c r="AK45" s="102"/>
      <c r="AL45" s="102"/>
      <c r="AM45" s="102"/>
      <c r="AN45" s="102"/>
      <c r="AO45" s="102"/>
      <c r="AP45" s="102"/>
      <c r="AQ45" s="102"/>
      <c r="AR45" s="102"/>
      <c r="AS45" s="102"/>
      <c r="AT45" s="102"/>
      <c r="AU45" s="102"/>
      <c r="AV45" s="102"/>
      <c r="AW45" s="102"/>
      <c r="AX45" s="102"/>
      <c r="AY45" s="102"/>
      <c r="AZ45" s="102"/>
      <c r="BA45" s="102"/>
      <c r="BB45" s="102"/>
      <c r="BC45" s="102"/>
      <c r="BD45" s="102"/>
      <c r="BE45" s="102"/>
      <c r="BF45" s="102"/>
      <c r="BG45" s="102"/>
      <c r="BH45" s="102"/>
      <c r="BI45" s="102"/>
      <c r="BJ45" s="102"/>
      <c r="BK45" s="102"/>
      <c r="BL45" s="102"/>
      <c r="BM45" s="102"/>
      <c r="BN45" s="102"/>
      <c r="BO45" s="102"/>
      <c r="BP45" s="102"/>
      <c r="BQ45" s="102"/>
      <c r="BR45" s="102"/>
      <c r="BS45" s="102"/>
      <c r="BT45" s="102"/>
      <c r="BU45" s="102"/>
      <c r="BV45" s="102"/>
      <c r="BW45" s="108"/>
      <c r="BX45" s="108"/>
      <c r="BY45" s="108"/>
      <c r="BZ45" s="108"/>
      <c r="CA45" s="108"/>
      <c r="CB45" s="108"/>
      <c r="CC45" s="108"/>
      <c r="CD45" s="108"/>
      <c r="CE45" s="108"/>
    </row>
    <row r="46" spans="1:83" s="84" customFormat="1" ht="15.75">
      <c r="A46" s="88" t="str">
        <f>IF(E46&lt;&gt;"",1+MAX($A$43:A45),"")</f>
        <v/>
      </c>
      <c r="B46" s="152"/>
      <c r="C46" s="153"/>
      <c r="D46" s="154"/>
      <c r="E46" s="155"/>
      <c r="F46" s="156"/>
      <c r="G46" s="157"/>
      <c r="H46" s="158"/>
      <c r="I46" s="157"/>
      <c r="J46" s="157"/>
      <c r="K46" s="159"/>
      <c r="L46" s="159"/>
      <c r="M46" s="83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2"/>
      <c r="AI46" s="102"/>
      <c r="AJ46" s="102"/>
      <c r="AK46" s="102"/>
      <c r="AL46" s="102"/>
      <c r="AM46" s="102"/>
      <c r="AN46" s="102"/>
      <c r="AO46" s="102"/>
      <c r="AP46" s="102"/>
      <c r="AQ46" s="102"/>
      <c r="AR46" s="102"/>
      <c r="AS46" s="102"/>
      <c r="AT46" s="102"/>
      <c r="AU46" s="102"/>
      <c r="AV46" s="102"/>
      <c r="AW46" s="102"/>
      <c r="AX46" s="102"/>
      <c r="AY46" s="102"/>
      <c r="AZ46" s="102"/>
      <c r="BA46" s="102"/>
      <c r="BB46" s="102"/>
      <c r="BC46" s="102"/>
      <c r="BD46" s="102"/>
      <c r="BE46" s="102"/>
      <c r="BF46" s="102"/>
      <c r="BG46" s="102"/>
      <c r="BH46" s="102"/>
      <c r="BI46" s="102"/>
      <c r="BJ46" s="102"/>
      <c r="BK46" s="102"/>
      <c r="BL46" s="102"/>
      <c r="BM46" s="102"/>
      <c r="BN46" s="102"/>
      <c r="BO46" s="102"/>
      <c r="BP46" s="102"/>
      <c r="BQ46" s="102"/>
      <c r="BR46" s="102"/>
      <c r="BS46" s="102"/>
      <c r="BT46" s="102"/>
      <c r="BU46" s="102"/>
      <c r="BV46" s="102"/>
      <c r="BW46" s="108"/>
      <c r="BX46" s="108"/>
      <c r="BY46" s="108"/>
      <c r="BZ46" s="108"/>
      <c r="CA46" s="108"/>
      <c r="CB46" s="108"/>
      <c r="CC46" s="108"/>
      <c r="CD46" s="108"/>
      <c r="CE46" s="108"/>
    </row>
    <row r="47" spans="1:83" s="84" customFormat="1" ht="15.75">
      <c r="A47" s="88" t="str">
        <f>IF(E47&lt;&gt;"",1+MAX($A$43:A46),"")</f>
        <v/>
      </c>
      <c r="B47" s="152"/>
      <c r="C47" s="153"/>
      <c r="D47" s="154"/>
      <c r="E47" s="155"/>
      <c r="F47" s="156"/>
      <c r="G47" s="157"/>
      <c r="H47" s="158"/>
      <c r="I47" s="157"/>
      <c r="J47" s="157"/>
      <c r="K47" s="159"/>
      <c r="L47" s="159"/>
      <c r="M47" s="83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2"/>
      <c r="AI47" s="102"/>
      <c r="AJ47" s="102"/>
      <c r="AK47" s="102"/>
      <c r="AL47" s="102"/>
      <c r="AM47" s="102"/>
      <c r="AN47" s="102"/>
      <c r="AO47" s="102"/>
      <c r="AP47" s="102"/>
      <c r="AQ47" s="102"/>
      <c r="AR47" s="102"/>
      <c r="AS47" s="102"/>
      <c r="AT47" s="102"/>
      <c r="AU47" s="102"/>
      <c r="AV47" s="102"/>
      <c r="AW47" s="102"/>
      <c r="AX47" s="102"/>
      <c r="AY47" s="102"/>
      <c r="AZ47" s="102"/>
      <c r="BA47" s="102"/>
      <c r="BB47" s="102"/>
      <c r="BC47" s="102"/>
      <c r="BD47" s="102"/>
      <c r="BE47" s="102"/>
      <c r="BF47" s="102"/>
      <c r="BG47" s="102"/>
      <c r="BH47" s="102"/>
      <c r="BI47" s="102"/>
      <c r="BJ47" s="102"/>
      <c r="BK47" s="102"/>
      <c r="BL47" s="102"/>
      <c r="BM47" s="102"/>
      <c r="BN47" s="102"/>
      <c r="BO47" s="102"/>
      <c r="BP47" s="102"/>
      <c r="BQ47" s="102"/>
      <c r="BR47" s="102"/>
      <c r="BS47" s="102"/>
      <c r="BT47" s="102"/>
      <c r="BU47" s="102"/>
      <c r="BV47" s="102"/>
      <c r="BW47" s="108"/>
      <c r="BX47" s="108"/>
      <c r="BY47" s="108"/>
      <c r="BZ47" s="108"/>
      <c r="CA47" s="108"/>
      <c r="CB47" s="108"/>
      <c r="CC47" s="108"/>
      <c r="CD47" s="108"/>
      <c r="CE47" s="108"/>
    </row>
    <row r="48" spans="1:83" s="84" customFormat="1" ht="15.75">
      <c r="A48" s="88" t="str">
        <f>IF(E48&lt;&gt;"",1+MAX($A$43:A47),"")</f>
        <v/>
      </c>
      <c r="B48" s="152"/>
      <c r="C48" s="153"/>
      <c r="D48" s="154"/>
      <c r="E48" s="155"/>
      <c r="F48" s="156"/>
      <c r="G48" s="157"/>
      <c r="H48" s="158"/>
      <c r="I48" s="157"/>
      <c r="J48" s="157"/>
      <c r="K48" s="159"/>
      <c r="L48" s="159"/>
      <c r="M48" s="83"/>
      <c r="N48" s="102"/>
      <c r="O48" s="102"/>
      <c r="P48" s="102"/>
      <c r="Q48" s="102"/>
      <c r="R48" s="102"/>
      <c r="S48" s="102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  <c r="AK48" s="102"/>
      <c r="AL48" s="102"/>
      <c r="AM48" s="102"/>
      <c r="AN48" s="102"/>
      <c r="AO48" s="102"/>
      <c r="AP48" s="102"/>
      <c r="AQ48" s="102"/>
      <c r="AR48" s="102"/>
      <c r="AS48" s="102"/>
      <c r="AT48" s="102"/>
      <c r="AU48" s="102"/>
      <c r="AV48" s="102"/>
      <c r="AW48" s="102"/>
      <c r="AX48" s="102"/>
      <c r="AY48" s="102"/>
      <c r="AZ48" s="102"/>
      <c r="BA48" s="102"/>
      <c r="BB48" s="102"/>
      <c r="BC48" s="102"/>
      <c r="BD48" s="102"/>
      <c r="BE48" s="102"/>
      <c r="BF48" s="102"/>
      <c r="BG48" s="102"/>
      <c r="BH48" s="102"/>
      <c r="BI48" s="102"/>
      <c r="BJ48" s="102"/>
      <c r="BK48" s="102"/>
      <c r="BL48" s="102"/>
      <c r="BM48" s="102"/>
      <c r="BN48" s="102"/>
      <c r="BO48" s="102"/>
      <c r="BP48" s="102"/>
      <c r="BQ48" s="102"/>
      <c r="BR48" s="102"/>
      <c r="BS48" s="102"/>
      <c r="BT48" s="102"/>
      <c r="BU48" s="102"/>
      <c r="BV48" s="102"/>
      <c r="BW48" s="108"/>
      <c r="BX48" s="108"/>
      <c r="BY48" s="108"/>
      <c r="BZ48" s="108"/>
      <c r="CA48" s="108"/>
      <c r="CB48" s="108"/>
      <c r="CC48" s="108"/>
      <c r="CD48" s="108"/>
      <c r="CE48" s="108"/>
    </row>
    <row r="49" spans="1:74" s="84" customFormat="1">
      <c r="A49" s="88" t="str">
        <f>IF(E49&lt;&gt;"",1+MAX($A$43:A48),"")</f>
        <v/>
      </c>
      <c r="B49" s="152"/>
      <c r="C49" s="153"/>
      <c r="D49" s="154"/>
      <c r="E49" s="155"/>
      <c r="F49" s="156"/>
      <c r="G49" s="157"/>
      <c r="H49" s="158"/>
      <c r="I49" s="157"/>
      <c r="J49" s="157"/>
      <c r="K49" s="159"/>
      <c r="L49" s="159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  <c r="AE49" s="83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3"/>
      <c r="BE49" s="83"/>
      <c r="BF49" s="83"/>
      <c r="BG49" s="83"/>
      <c r="BH49" s="83"/>
      <c r="BI49" s="83"/>
      <c r="BJ49" s="83"/>
      <c r="BK49" s="83"/>
      <c r="BL49" s="83"/>
      <c r="BM49" s="83"/>
      <c r="BN49" s="83"/>
      <c r="BO49" s="83"/>
      <c r="BP49" s="83"/>
      <c r="BQ49" s="83"/>
      <c r="BR49" s="83"/>
      <c r="BS49" s="83"/>
      <c r="BT49" s="83"/>
      <c r="BU49" s="83"/>
      <c r="BV49" s="83"/>
    </row>
    <row r="50" spans="1:74" s="84" customFormat="1">
      <c r="A50" s="88" t="str">
        <f>IF(E50&lt;&gt;"",1+MAX($A$43:A49),"")</f>
        <v/>
      </c>
      <c r="B50" s="152"/>
      <c r="C50" s="153"/>
      <c r="D50" s="154"/>
      <c r="E50" s="155"/>
      <c r="F50" s="156"/>
      <c r="G50" s="157"/>
      <c r="H50" s="158"/>
      <c r="I50" s="157"/>
      <c r="J50" s="157"/>
      <c r="K50" s="159"/>
      <c r="L50" s="159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  <c r="AE50" s="83"/>
      <c r="AF50" s="83"/>
      <c r="AG50" s="83"/>
      <c r="AH50" s="83"/>
      <c r="AI50" s="83"/>
      <c r="AJ50" s="83"/>
      <c r="AK50" s="83"/>
      <c r="AL50" s="83"/>
      <c r="AM50" s="83"/>
      <c r="AN50" s="83"/>
      <c r="AO50" s="83"/>
      <c r="AP50" s="83"/>
      <c r="AQ50" s="83"/>
      <c r="AR50" s="83"/>
      <c r="AS50" s="83"/>
      <c r="AT50" s="83"/>
      <c r="AU50" s="83"/>
      <c r="AV50" s="83"/>
      <c r="AW50" s="83"/>
      <c r="AX50" s="83"/>
      <c r="AY50" s="83"/>
      <c r="AZ50" s="83"/>
      <c r="BA50" s="83"/>
      <c r="BB50" s="83"/>
      <c r="BC50" s="83"/>
      <c r="BD50" s="83"/>
      <c r="BE50" s="83"/>
      <c r="BF50" s="83"/>
      <c r="BG50" s="83"/>
      <c r="BH50" s="83"/>
      <c r="BI50" s="83"/>
      <c r="BJ50" s="83"/>
      <c r="BK50" s="83"/>
      <c r="BL50" s="83"/>
      <c r="BM50" s="83"/>
      <c r="BN50" s="83"/>
      <c r="BO50" s="83"/>
      <c r="BP50" s="83"/>
      <c r="BQ50" s="83"/>
      <c r="BR50" s="83"/>
      <c r="BS50" s="83"/>
      <c r="BT50" s="83"/>
      <c r="BU50" s="83"/>
      <c r="BV50" s="83"/>
    </row>
    <row r="51" spans="1:74" s="84" customFormat="1">
      <c r="A51" s="88" t="str">
        <f>IF(E51&lt;&gt;"",1+MAX($A$43:A50),"")</f>
        <v/>
      </c>
      <c r="B51" s="152"/>
      <c r="C51" s="153"/>
      <c r="D51" s="154"/>
      <c r="E51" s="155"/>
      <c r="F51" s="156"/>
      <c r="G51" s="157"/>
      <c r="H51" s="158"/>
      <c r="I51" s="157"/>
      <c r="J51" s="157"/>
      <c r="K51" s="159"/>
      <c r="L51" s="159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  <c r="AE51" s="83"/>
      <c r="AF51" s="83"/>
      <c r="AG51" s="83"/>
      <c r="AH51" s="83"/>
      <c r="AI51" s="83"/>
      <c r="AJ51" s="83"/>
      <c r="AK51" s="83"/>
      <c r="AL51" s="83"/>
      <c r="AM51" s="83"/>
      <c r="AN51" s="83"/>
      <c r="AO51" s="83"/>
      <c r="AP51" s="83"/>
      <c r="AQ51" s="83"/>
      <c r="AR51" s="83"/>
      <c r="AS51" s="83"/>
      <c r="AT51" s="83"/>
      <c r="AU51" s="83"/>
      <c r="AV51" s="83"/>
      <c r="AW51" s="83"/>
      <c r="AX51" s="83"/>
      <c r="AY51" s="83"/>
      <c r="AZ51" s="83"/>
      <c r="BA51" s="83"/>
      <c r="BB51" s="83"/>
      <c r="BC51" s="83"/>
      <c r="BD51" s="83"/>
      <c r="BE51" s="83"/>
      <c r="BF51" s="83"/>
      <c r="BG51" s="83"/>
      <c r="BH51" s="83"/>
      <c r="BI51" s="83"/>
      <c r="BJ51" s="83"/>
      <c r="BK51" s="83"/>
      <c r="BL51" s="83"/>
      <c r="BM51" s="83"/>
      <c r="BN51" s="83"/>
      <c r="BO51" s="83"/>
      <c r="BP51" s="83"/>
      <c r="BQ51" s="83"/>
      <c r="BR51" s="83"/>
      <c r="BS51" s="83"/>
      <c r="BT51" s="83"/>
      <c r="BU51" s="83"/>
      <c r="BV51" s="83"/>
    </row>
    <row r="52" spans="1:74" s="84" customFormat="1">
      <c r="A52" s="88" t="str">
        <f>IF(E52&lt;&gt;"",1+MAX($A$43:A51),"")</f>
        <v/>
      </c>
      <c r="B52" s="152"/>
      <c r="C52" s="153"/>
      <c r="D52" s="154"/>
      <c r="E52" s="155"/>
      <c r="F52" s="156"/>
      <c r="G52" s="157"/>
      <c r="H52" s="158"/>
      <c r="I52" s="157"/>
      <c r="J52" s="157"/>
      <c r="K52" s="159"/>
      <c r="L52" s="159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  <c r="AE52" s="83"/>
      <c r="AF52" s="83"/>
      <c r="AG52" s="83"/>
      <c r="AH52" s="83"/>
      <c r="AI52" s="83"/>
      <c r="AJ52" s="83"/>
      <c r="AK52" s="83"/>
      <c r="AL52" s="83"/>
      <c r="AM52" s="83"/>
      <c r="AN52" s="83"/>
      <c r="AO52" s="83"/>
      <c r="AP52" s="83"/>
      <c r="AQ52" s="83"/>
      <c r="AR52" s="83"/>
      <c r="AS52" s="83"/>
      <c r="AT52" s="83"/>
      <c r="AU52" s="83"/>
      <c r="AV52" s="83"/>
      <c r="AW52" s="83"/>
      <c r="AX52" s="83"/>
      <c r="AY52" s="83"/>
      <c r="AZ52" s="83"/>
      <c r="BA52" s="83"/>
      <c r="BB52" s="83"/>
      <c r="BC52" s="83"/>
      <c r="BD52" s="83"/>
      <c r="BE52" s="83"/>
      <c r="BF52" s="83"/>
      <c r="BG52" s="83"/>
      <c r="BH52" s="83"/>
      <c r="BI52" s="83"/>
      <c r="BJ52" s="83"/>
      <c r="BK52" s="83"/>
      <c r="BL52" s="83"/>
      <c r="BM52" s="83"/>
      <c r="BN52" s="83"/>
      <c r="BO52" s="83"/>
      <c r="BP52" s="83"/>
      <c r="BQ52" s="83"/>
      <c r="BR52" s="83"/>
      <c r="BS52" s="83"/>
      <c r="BT52" s="83"/>
      <c r="BU52" s="83"/>
      <c r="BV52" s="83"/>
    </row>
    <row r="53" spans="1:74" s="84" customFormat="1">
      <c r="A53" s="88" t="str">
        <f>IF(E53&lt;&gt;"",1+MAX($A$43:A52),"")</f>
        <v/>
      </c>
      <c r="B53" s="152"/>
      <c r="C53" s="153"/>
      <c r="D53" s="154"/>
      <c r="E53" s="155"/>
      <c r="F53" s="156"/>
      <c r="G53" s="157"/>
      <c r="H53" s="158"/>
      <c r="I53" s="157"/>
      <c r="J53" s="157"/>
      <c r="K53" s="159"/>
      <c r="L53" s="159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  <c r="AE53" s="83"/>
      <c r="AF53" s="83"/>
      <c r="AG53" s="83"/>
      <c r="AH53" s="83"/>
      <c r="AI53" s="83"/>
      <c r="AJ53" s="83"/>
      <c r="AK53" s="83"/>
      <c r="AL53" s="83"/>
      <c r="AM53" s="83"/>
      <c r="AN53" s="83"/>
      <c r="AO53" s="83"/>
      <c r="AP53" s="83"/>
      <c r="AQ53" s="83"/>
      <c r="AR53" s="83"/>
      <c r="AS53" s="83"/>
      <c r="AT53" s="83"/>
      <c r="AU53" s="83"/>
      <c r="AV53" s="83"/>
      <c r="AW53" s="83"/>
      <c r="AX53" s="83"/>
      <c r="AY53" s="83"/>
      <c r="AZ53" s="83"/>
      <c r="BA53" s="83"/>
      <c r="BB53" s="83"/>
      <c r="BC53" s="83"/>
      <c r="BD53" s="83"/>
      <c r="BE53" s="83"/>
      <c r="BF53" s="83"/>
      <c r="BG53" s="83"/>
      <c r="BH53" s="83"/>
      <c r="BI53" s="83"/>
      <c r="BJ53" s="83"/>
      <c r="BK53" s="83"/>
      <c r="BL53" s="83"/>
      <c r="BM53" s="83"/>
      <c r="BN53" s="83"/>
      <c r="BO53" s="83"/>
      <c r="BP53" s="83"/>
      <c r="BQ53" s="83"/>
      <c r="BR53" s="83"/>
      <c r="BS53" s="83"/>
      <c r="BT53" s="83"/>
      <c r="BU53" s="83"/>
      <c r="BV53" s="83"/>
    </row>
    <row r="54" spans="1:74" s="84" customFormat="1">
      <c r="A54" s="88" t="str">
        <f>IF(E54&lt;&gt;"",1+MAX($A$43:A53),"")</f>
        <v/>
      </c>
      <c r="B54" s="152"/>
      <c r="C54" s="153"/>
      <c r="D54" s="154"/>
      <c r="E54" s="155"/>
      <c r="F54" s="156"/>
      <c r="G54" s="157"/>
      <c r="H54" s="158"/>
      <c r="I54" s="157"/>
      <c r="J54" s="157"/>
      <c r="K54" s="159"/>
      <c r="L54" s="159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3"/>
      <c r="AM54" s="83"/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3"/>
      <c r="AY54" s="83"/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3"/>
      <c r="BK54" s="83"/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3"/>
    </row>
    <row r="55" spans="1:74" s="84" customFormat="1">
      <c r="A55" s="88" t="str">
        <f>IF(E55&lt;&gt;"",1+MAX($A$43:A54),"")</f>
        <v/>
      </c>
      <c r="B55" s="152"/>
      <c r="C55" s="153"/>
      <c r="D55" s="154"/>
      <c r="E55" s="155"/>
      <c r="F55" s="156"/>
      <c r="G55" s="157"/>
      <c r="H55" s="158"/>
      <c r="I55" s="157"/>
      <c r="J55" s="157"/>
      <c r="K55" s="159"/>
      <c r="L55" s="159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  <c r="AK55" s="83"/>
      <c r="AL55" s="83"/>
      <c r="AM55" s="83"/>
      <c r="AN55" s="83"/>
      <c r="AO55" s="83"/>
      <c r="AP55" s="83"/>
      <c r="AQ55" s="83"/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3"/>
      <c r="BI55" s="83"/>
      <c r="BJ55" s="83"/>
      <c r="BK55" s="83"/>
      <c r="BL55" s="83"/>
      <c r="BM55" s="83"/>
      <c r="BN55" s="83"/>
      <c r="BO55" s="83"/>
      <c r="BP55" s="83"/>
      <c r="BQ55" s="83"/>
      <c r="BR55" s="83"/>
      <c r="BS55" s="83"/>
      <c r="BT55" s="83"/>
      <c r="BU55" s="83"/>
      <c r="BV55" s="83"/>
    </row>
    <row r="56" spans="1:74" s="84" customFormat="1">
      <c r="A56" s="88" t="str">
        <f>IF(E56&lt;&gt;"",1+MAX($A$43:A55),"")</f>
        <v/>
      </c>
      <c r="B56" s="152"/>
      <c r="C56" s="153"/>
      <c r="D56" s="154"/>
      <c r="E56" s="155"/>
      <c r="F56" s="156"/>
      <c r="G56" s="157"/>
      <c r="H56" s="158"/>
      <c r="I56" s="157"/>
      <c r="J56" s="159"/>
      <c r="K56" s="159"/>
      <c r="L56" s="159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83"/>
      <c r="AO56" s="83"/>
      <c r="AP56" s="83"/>
      <c r="AQ56" s="83"/>
      <c r="AR56" s="83"/>
      <c r="AS56" s="83"/>
      <c r="AT56" s="83"/>
      <c r="AU56" s="83"/>
      <c r="AV56" s="83"/>
      <c r="AW56" s="83"/>
      <c r="AX56" s="83"/>
      <c r="AY56" s="83"/>
      <c r="AZ56" s="83"/>
      <c r="BA56" s="83"/>
      <c r="BB56" s="83"/>
      <c r="BC56" s="83"/>
      <c r="BD56" s="83"/>
      <c r="BE56" s="83"/>
      <c r="BF56" s="83"/>
      <c r="BG56" s="83"/>
      <c r="BH56" s="83"/>
      <c r="BI56" s="83"/>
      <c r="BJ56" s="83"/>
      <c r="BK56" s="83"/>
      <c r="BL56" s="83"/>
      <c r="BM56" s="83"/>
      <c r="BN56" s="83"/>
      <c r="BO56" s="83"/>
      <c r="BP56" s="83"/>
      <c r="BQ56" s="83"/>
      <c r="BR56" s="83"/>
      <c r="BS56" s="83"/>
      <c r="BT56" s="83"/>
      <c r="BU56" s="83"/>
      <c r="BV56" s="83"/>
    </row>
    <row r="57" spans="1:74" s="84" customFormat="1">
      <c r="A57" s="88" t="str">
        <f>IF(E57&lt;&gt;"",1+MAX($A$43:A56),"")</f>
        <v/>
      </c>
      <c r="B57" s="152"/>
      <c r="C57" s="153"/>
      <c r="D57" s="154"/>
      <c r="E57" s="155"/>
      <c r="F57" s="156"/>
      <c r="G57" s="157"/>
      <c r="H57" s="158"/>
      <c r="I57" s="157"/>
      <c r="J57" s="157"/>
      <c r="K57" s="159"/>
      <c r="L57" s="159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3"/>
      <c r="AF57" s="83"/>
      <c r="AG57" s="83"/>
      <c r="AH57" s="83"/>
      <c r="AI57" s="83"/>
      <c r="AJ57" s="83"/>
      <c r="AK57" s="83"/>
      <c r="AL57" s="83"/>
      <c r="AM57" s="83"/>
      <c r="AN57" s="83"/>
      <c r="AO57" s="83"/>
      <c r="AP57" s="83"/>
      <c r="AQ57" s="83"/>
      <c r="AR57" s="83"/>
      <c r="AS57" s="83"/>
      <c r="AT57" s="83"/>
      <c r="AU57" s="83"/>
      <c r="AV57" s="83"/>
      <c r="AW57" s="83"/>
      <c r="AX57" s="83"/>
      <c r="AY57" s="83"/>
      <c r="AZ57" s="83"/>
      <c r="BA57" s="83"/>
      <c r="BB57" s="83"/>
      <c r="BC57" s="83"/>
      <c r="BD57" s="83"/>
      <c r="BE57" s="83"/>
      <c r="BF57" s="83"/>
      <c r="BG57" s="83"/>
      <c r="BH57" s="83"/>
      <c r="BI57" s="83"/>
      <c r="BJ57" s="83"/>
      <c r="BK57" s="83"/>
      <c r="BL57" s="83"/>
      <c r="BM57" s="83"/>
      <c r="BN57" s="83"/>
      <c r="BO57" s="83"/>
      <c r="BP57" s="83"/>
      <c r="BQ57" s="83"/>
      <c r="BR57" s="83"/>
      <c r="BS57" s="83"/>
      <c r="BT57" s="83"/>
      <c r="BU57" s="83"/>
      <c r="BV57" s="83"/>
    </row>
    <row r="58" spans="1:74" s="84" customFormat="1">
      <c r="A58" s="88" t="str">
        <f>IF(E58&lt;&gt;"",1+MAX($A$43:A57),"")</f>
        <v/>
      </c>
      <c r="B58" s="152"/>
      <c r="C58" s="153"/>
      <c r="D58" s="154"/>
      <c r="E58" s="155"/>
      <c r="F58" s="156"/>
      <c r="G58" s="157"/>
      <c r="H58" s="158"/>
      <c r="I58" s="157"/>
      <c r="J58" s="157"/>
      <c r="K58" s="159"/>
      <c r="L58" s="159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  <c r="AE58" s="83"/>
      <c r="AF58" s="83"/>
      <c r="AG58" s="83"/>
      <c r="AH58" s="83"/>
      <c r="AI58" s="83"/>
      <c r="AJ58" s="83"/>
      <c r="AK58" s="83"/>
      <c r="AL58" s="83"/>
      <c r="AM58" s="83"/>
      <c r="AN58" s="83"/>
      <c r="AO58" s="83"/>
      <c r="AP58" s="83"/>
      <c r="AQ58" s="83"/>
      <c r="AR58" s="83"/>
      <c r="AS58" s="83"/>
      <c r="AT58" s="83"/>
      <c r="AU58" s="83"/>
      <c r="AV58" s="83"/>
      <c r="AW58" s="83"/>
      <c r="AX58" s="83"/>
      <c r="AY58" s="83"/>
      <c r="AZ58" s="83"/>
      <c r="BA58" s="83"/>
      <c r="BB58" s="83"/>
      <c r="BC58" s="83"/>
      <c r="BD58" s="83"/>
      <c r="BE58" s="83"/>
      <c r="BF58" s="83"/>
      <c r="BG58" s="83"/>
      <c r="BH58" s="83"/>
      <c r="BI58" s="83"/>
      <c r="BJ58" s="83"/>
      <c r="BK58" s="83"/>
      <c r="BL58" s="83"/>
      <c r="BM58" s="83"/>
      <c r="BN58" s="83"/>
      <c r="BO58" s="83"/>
      <c r="BP58" s="83"/>
      <c r="BQ58" s="83"/>
      <c r="BR58" s="83"/>
      <c r="BS58" s="83"/>
      <c r="BT58" s="83"/>
      <c r="BU58" s="83"/>
      <c r="BV58" s="83"/>
    </row>
    <row r="59" spans="1:74" s="84" customFormat="1">
      <c r="A59" s="88" t="str">
        <f>IF(E59&lt;&gt;"",1+MAX($A$43:A58),"")</f>
        <v/>
      </c>
      <c r="B59" s="152"/>
      <c r="C59" s="153"/>
      <c r="D59" s="154"/>
      <c r="E59" s="155"/>
      <c r="F59" s="156"/>
      <c r="G59" s="157"/>
      <c r="H59" s="158"/>
      <c r="I59" s="157"/>
      <c r="J59" s="157"/>
      <c r="K59" s="159"/>
      <c r="L59" s="159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  <c r="AE59" s="83"/>
      <c r="AF59" s="83"/>
      <c r="AG59" s="83"/>
      <c r="AH59" s="83"/>
      <c r="AI59" s="83"/>
      <c r="AJ59" s="83"/>
      <c r="AK59" s="83"/>
      <c r="AL59" s="83"/>
      <c r="AM59" s="83"/>
      <c r="AN59" s="83"/>
      <c r="AO59" s="83"/>
      <c r="AP59" s="83"/>
      <c r="AQ59" s="83"/>
      <c r="AR59" s="83"/>
      <c r="AS59" s="83"/>
      <c r="AT59" s="83"/>
      <c r="AU59" s="83"/>
      <c r="AV59" s="83"/>
      <c r="AW59" s="83"/>
      <c r="AX59" s="83"/>
      <c r="AY59" s="83"/>
      <c r="AZ59" s="83"/>
      <c r="BA59" s="83"/>
      <c r="BB59" s="83"/>
      <c r="BC59" s="83"/>
      <c r="BD59" s="83"/>
      <c r="BE59" s="83"/>
      <c r="BF59" s="83"/>
      <c r="BG59" s="83"/>
      <c r="BH59" s="83"/>
      <c r="BI59" s="83"/>
      <c r="BJ59" s="83"/>
      <c r="BK59" s="83"/>
      <c r="BL59" s="83"/>
      <c r="BM59" s="83"/>
      <c r="BN59" s="83"/>
      <c r="BO59" s="83"/>
      <c r="BP59" s="83"/>
      <c r="BQ59" s="83"/>
      <c r="BR59" s="83"/>
      <c r="BS59" s="83"/>
      <c r="BT59" s="83"/>
      <c r="BU59" s="83"/>
      <c r="BV59" s="83"/>
    </row>
    <row r="60" spans="1:74" s="84" customFormat="1">
      <c r="A60" s="88" t="str">
        <f>IF(E60&lt;&gt;"",1+MAX($A$43:A59),"")</f>
        <v/>
      </c>
      <c r="B60" s="152"/>
      <c r="C60" s="153"/>
      <c r="D60" s="154"/>
      <c r="E60" s="155"/>
      <c r="F60" s="156"/>
      <c r="G60" s="157"/>
      <c r="H60" s="158"/>
      <c r="I60" s="157"/>
      <c r="J60" s="157"/>
      <c r="K60" s="159"/>
      <c r="L60" s="159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  <c r="AE60" s="83"/>
      <c r="AF60" s="83"/>
      <c r="AG60" s="83"/>
      <c r="AH60" s="83"/>
      <c r="AI60" s="83"/>
      <c r="AJ60" s="83"/>
      <c r="AK60" s="83"/>
      <c r="AL60" s="83"/>
      <c r="AM60" s="83"/>
      <c r="AN60" s="83"/>
      <c r="AO60" s="83"/>
      <c r="AP60" s="83"/>
      <c r="AQ60" s="83"/>
      <c r="AR60" s="83"/>
      <c r="AS60" s="83"/>
      <c r="AT60" s="83"/>
      <c r="AU60" s="83"/>
      <c r="AV60" s="83"/>
      <c r="AW60" s="83"/>
      <c r="AX60" s="83"/>
      <c r="AY60" s="83"/>
      <c r="AZ60" s="83"/>
      <c r="BA60" s="83"/>
      <c r="BB60" s="83"/>
      <c r="BC60" s="83"/>
      <c r="BD60" s="83"/>
      <c r="BE60" s="83"/>
      <c r="BF60" s="83"/>
      <c r="BG60" s="83"/>
      <c r="BH60" s="83"/>
      <c r="BI60" s="83"/>
      <c r="BJ60" s="83"/>
      <c r="BK60" s="83"/>
      <c r="BL60" s="83"/>
      <c r="BM60" s="83"/>
      <c r="BN60" s="83"/>
      <c r="BO60" s="83"/>
      <c r="BP60" s="83"/>
      <c r="BQ60" s="83"/>
      <c r="BR60" s="83"/>
      <c r="BS60" s="83"/>
      <c r="BT60" s="83"/>
      <c r="BU60" s="83"/>
      <c r="BV60" s="83"/>
    </row>
    <row r="61" spans="1:74" s="84" customFormat="1">
      <c r="A61" s="88" t="str">
        <f>IF(E61&lt;&gt;"",1+MAX($A$43:A60),"")</f>
        <v/>
      </c>
      <c r="B61" s="152"/>
      <c r="C61" s="153"/>
      <c r="D61" s="154"/>
      <c r="E61" s="155"/>
      <c r="F61" s="156"/>
      <c r="G61" s="157"/>
      <c r="H61" s="158"/>
      <c r="I61" s="157"/>
      <c r="J61" s="157"/>
      <c r="K61" s="159"/>
      <c r="L61" s="159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  <c r="AE61" s="83"/>
      <c r="AF61" s="83"/>
      <c r="AG61" s="83"/>
      <c r="AH61" s="83"/>
      <c r="AI61" s="83"/>
      <c r="AJ61" s="83"/>
      <c r="AK61" s="83"/>
      <c r="AL61" s="83"/>
      <c r="AM61" s="83"/>
      <c r="AN61" s="83"/>
      <c r="AO61" s="83"/>
      <c r="AP61" s="83"/>
      <c r="AQ61" s="83"/>
      <c r="AR61" s="83"/>
      <c r="AS61" s="83"/>
      <c r="AT61" s="83"/>
      <c r="AU61" s="83"/>
      <c r="AV61" s="83"/>
      <c r="AW61" s="83"/>
      <c r="AX61" s="83"/>
      <c r="AY61" s="83"/>
      <c r="AZ61" s="83"/>
      <c r="BA61" s="83"/>
      <c r="BB61" s="83"/>
      <c r="BC61" s="83"/>
      <c r="BD61" s="83"/>
      <c r="BE61" s="83"/>
      <c r="BF61" s="83"/>
      <c r="BG61" s="83"/>
      <c r="BH61" s="83"/>
      <c r="BI61" s="83"/>
      <c r="BJ61" s="83"/>
      <c r="BK61" s="83"/>
      <c r="BL61" s="83"/>
      <c r="BM61" s="83"/>
      <c r="BN61" s="83"/>
      <c r="BO61" s="83"/>
      <c r="BP61" s="83"/>
      <c r="BQ61" s="83"/>
      <c r="BR61" s="83"/>
      <c r="BS61" s="83"/>
      <c r="BT61" s="83"/>
      <c r="BU61" s="83"/>
      <c r="BV61" s="83"/>
    </row>
    <row r="62" spans="1:74" s="84" customFormat="1">
      <c r="A62" s="88" t="str">
        <f>IF(E62&lt;&gt;"",1+MAX($A$43:A61),"")</f>
        <v/>
      </c>
      <c r="B62" s="152"/>
      <c r="C62" s="153"/>
      <c r="D62" s="154"/>
      <c r="E62" s="155"/>
      <c r="F62" s="156"/>
      <c r="G62" s="157"/>
      <c r="H62" s="158"/>
      <c r="I62" s="157"/>
      <c r="J62" s="157"/>
      <c r="K62" s="159"/>
      <c r="L62" s="159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/>
      <c r="AQ62" s="83"/>
      <c r="AR62" s="83"/>
      <c r="AS62" s="83"/>
      <c r="AT62" s="83"/>
      <c r="AU62" s="83"/>
      <c r="AV62" s="83"/>
      <c r="AW62" s="83"/>
      <c r="AX62" s="83"/>
      <c r="AY62" s="83"/>
      <c r="AZ62" s="83"/>
      <c r="BA62" s="83"/>
      <c r="BB62" s="83"/>
      <c r="BC62" s="83"/>
      <c r="BD62" s="83"/>
      <c r="BE62" s="83"/>
      <c r="BF62" s="83"/>
      <c r="BG62" s="83"/>
      <c r="BH62" s="83"/>
      <c r="BI62" s="83"/>
      <c r="BJ62" s="83"/>
      <c r="BK62" s="83"/>
      <c r="BL62" s="83"/>
      <c r="BM62" s="83"/>
      <c r="BN62" s="83"/>
      <c r="BO62" s="83"/>
      <c r="BP62" s="83"/>
      <c r="BQ62" s="83"/>
      <c r="BR62" s="83"/>
      <c r="BS62" s="83"/>
      <c r="BT62" s="83"/>
      <c r="BU62" s="83"/>
      <c r="BV62" s="83"/>
    </row>
    <row r="63" spans="1:74" s="84" customFormat="1">
      <c r="A63" s="88" t="str">
        <f>IF(E63&lt;&gt;"",1+MAX($A$43:A62),"")</f>
        <v/>
      </c>
      <c r="B63" s="152"/>
      <c r="C63" s="153"/>
      <c r="D63" s="154"/>
      <c r="E63" s="155"/>
      <c r="F63" s="156"/>
      <c r="G63" s="157"/>
      <c r="H63" s="158"/>
      <c r="I63" s="157"/>
      <c r="J63" s="157"/>
      <c r="K63" s="159"/>
      <c r="L63" s="159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  <c r="AE63" s="83"/>
      <c r="AF63" s="83"/>
      <c r="AG63" s="83"/>
      <c r="AH63" s="83"/>
      <c r="AI63" s="83"/>
      <c r="AJ63" s="83"/>
      <c r="AK63" s="83"/>
      <c r="AL63" s="83"/>
      <c r="AM63" s="83"/>
      <c r="AN63" s="83"/>
      <c r="AO63" s="83"/>
      <c r="AP63" s="83"/>
      <c r="AQ63" s="83"/>
      <c r="AR63" s="83"/>
      <c r="AS63" s="83"/>
      <c r="AT63" s="83"/>
      <c r="AU63" s="83"/>
      <c r="AV63" s="83"/>
      <c r="AW63" s="83"/>
      <c r="AX63" s="83"/>
      <c r="AY63" s="83"/>
      <c r="AZ63" s="83"/>
      <c r="BA63" s="83"/>
      <c r="BB63" s="83"/>
      <c r="BC63" s="83"/>
      <c r="BD63" s="83"/>
      <c r="BE63" s="83"/>
      <c r="BF63" s="83"/>
      <c r="BG63" s="83"/>
      <c r="BH63" s="83"/>
      <c r="BI63" s="83"/>
      <c r="BJ63" s="83"/>
      <c r="BK63" s="83"/>
      <c r="BL63" s="83"/>
      <c r="BM63" s="83"/>
      <c r="BN63" s="83"/>
      <c r="BO63" s="83"/>
      <c r="BP63" s="83"/>
      <c r="BQ63" s="83"/>
      <c r="BR63" s="83"/>
      <c r="BS63" s="83"/>
      <c r="BT63" s="83"/>
      <c r="BU63" s="83"/>
      <c r="BV63" s="83"/>
    </row>
    <row r="64" spans="1:74" s="84" customFormat="1">
      <c r="A64" s="88" t="str">
        <f>IF(E64&lt;&gt;"",1+MAX($A$43:A63),"")</f>
        <v/>
      </c>
      <c r="B64" s="152"/>
      <c r="C64" s="153"/>
      <c r="D64" s="154"/>
      <c r="E64" s="155"/>
      <c r="F64" s="156"/>
      <c r="G64" s="157"/>
      <c r="H64" s="158"/>
      <c r="I64" s="157"/>
      <c r="J64" s="157"/>
      <c r="K64" s="157"/>
      <c r="L64" s="157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83"/>
      <c r="AN64" s="83"/>
      <c r="AO64" s="83"/>
      <c r="AP64" s="83"/>
      <c r="AQ64" s="83"/>
      <c r="AR64" s="83"/>
      <c r="AS64" s="83"/>
      <c r="AT64" s="83"/>
      <c r="AU64" s="83"/>
      <c r="AV64" s="83"/>
      <c r="AW64" s="83"/>
      <c r="AX64" s="83"/>
      <c r="AY64" s="83"/>
      <c r="AZ64" s="83"/>
      <c r="BA64" s="83"/>
      <c r="BB64" s="83"/>
      <c r="BC64" s="83"/>
      <c r="BD64" s="83"/>
      <c r="BE64" s="83"/>
      <c r="BF64" s="83"/>
      <c r="BG64" s="83"/>
      <c r="BH64" s="83"/>
      <c r="BI64" s="83"/>
      <c r="BJ64" s="83"/>
      <c r="BK64" s="83"/>
      <c r="BL64" s="83"/>
      <c r="BM64" s="83"/>
      <c r="BN64" s="83"/>
      <c r="BO64" s="83"/>
      <c r="BP64" s="83"/>
      <c r="BQ64" s="83"/>
      <c r="BR64" s="83"/>
      <c r="BS64" s="83"/>
      <c r="BT64" s="83"/>
      <c r="BU64" s="83"/>
      <c r="BV64" s="83"/>
    </row>
    <row r="65" spans="1:74" s="84" customFormat="1">
      <c r="A65" s="88" t="str">
        <f>IF(E65&lt;&gt;"",1+MAX($A$43:A64),"")</f>
        <v/>
      </c>
      <c r="B65" s="152"/>
      <c r="C65" s="153"/>
      <c r="D65" s="154"/>
      <c r="E65" s="155"/>
      <c r="F65" s="156"/>
      <c r="G65" s="157"/>
      <c r="H65" s="158"/>
      <c r="I65" s="157"/>
      <c r="J65" s="157"/>
      <c r="K65" s="157"/>
      <c r="L65" s="157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  <c r="AE65" s="83"/>
      <c r="AF65" s="83"/>
      <c r="AG65" s="83"/>
      <c r="AH65" s="83"/>
      <c r="AI65" s="83"/>
      <c r="AJ65" s="83"/>
      <c r="AK65" s="83"/>
      <c r="AL65" s="83"/>
      <c r="AM65" s="83"/>
      <c r="AN65" s="83"/>
      <c r="AO65" s="83"/>
      <c r="AP65" s="83"/>
      <c r="AQ65" s="83"/>
      <c r="AR65" s="83"/>
      <c r="AS65" s="83"/>
      <c r="AT65" s="83"/>
      <c r="AU65" s="83"/>
      <c r="AV65" s="83"/>
      <c r="AW65" s="83"/>
      <c r="AX65" s="83"/>
      <c r="AY65" s="83"/>
      <c r="AZ65" s="83"/>
      <c r="BA65" s="83"/>
      <c r="BB65" s="83"/>
      <c r="BC65" s="83"/>
      <c r="BD65" s="83"/>
      <c r="BE65" s="83"/>
      <c r="BF65" s="83"/>
      <c r="BG65" s="83"/>
      <c r="BH65" s="83"/>
      <c r="BI65" s="83"/>
      <c r="BJ65" s="83"/>
      <c r="BK65" s="83"/>
      <c r="BL65" s="83"/>
      <c r="BM65" s="83"/>
      <c r="BN65" s="83"/>
      <c r="BO65" s="83"/>
      <c r="BP65" s="83"/>
      <c r="BQ65" s="83"/>
      <c r="BR65" s="83"/>
      <c r="BS65" s="83"/>
      <c r="BT65" s="83"/>
      <c r="BU65" s="83"/>
      <c r="BV65" s="83"/>
    </row>
    <row r="66" spans="1:74" s="84" customFormat="1">
      <c r="A66" s="88" t="str">
        <f>IF(E66&lt;&gt;"",1+MAX($A$43:A65),"")</f>
        <v/>
      </c>
      <c r="B66" s="152"/>
      <c r="C66" s="153"/>
      <c r="D66" s="154"/>
      <c r="E66" s="155"/>
      <c r="F66" s="156"/>
      <c r="G66" s="157"/>
      <c r="H66" s="158"/>
      <c r="I66" s="157"/>
      <c r="J66" s="157"/>
      <c r="K66" s="157"/>
      <c r="L66" s="157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/>
      <c r="AP66" s="83"/>
      <c r="AQ66" s="83"/>
      <c r="AR66" s="83"/>
      <c r="AS66" s="83"/>
      <c r="AT66" s="83"/>
      <c r="AU66" s="83"/>
      <c r="AV66" s="83"/>
      <c r="AW66" s="83"/>
      <c r="AX66" s="83"/>
      <c r="AY66" s="83"/>
      <c r="AZ66" s="83"/>
      <c r="BA66" s="83"/>
      <c r="BB66" s="83"/>
      <c r="BC66" s="83"/>
      <c r="BD66" s="83"/>
      <c r="BE66" s="83"/>
      <c r="BF66" s="83"/>
      <c r="BG66" s="83"/>
      <c r="BH66" s="83"/>
      <c r="BI66" s="83"/>
      <c r="BJ66" s="83"/>
      <c r="BK66" s="83"/>
      <c r="BL66" s="83"/>
      <c r="BM66" s="83"/>
      <c r="BN66" s="83"/>
      <c r="BO66" s="83"/>
      <c r="BP66" s="83"/>
      <c r="BQ66" s="83"/>
      <c r="BR66" s="83"/>
      <c r="BS66" s="83"/>
      <c r="BT66" s="83"/>
      <c r="BU66" s="83"/>
      <c r="BV66" s="83"/>
    </row>
    <row r="67" spans="1:74" s="84" customFormat="1">
      <c r="A67" s="88" t="str">
        <f>IF(E67&lt;&gt;"",1+MAX($A$43:A66),"")</f>
        <v/>
      </c>
      <c r="B67" s="152"/>
      <c r="C67" s="153"/>
      <c r="D67" s="154"/>
      <c r="E67" s="155"/>
      <c r="F67" s="156"/>
      <c r="G67" s="157"/>
      <c r="H67" s="158"/>
      <c r="I67" s="157"/>
      <c r="J67" s="157"/>
      <c r="K67" s="157"/>
      <c r="L67" s="157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83"/>
      <c r="AN67" s="83"/>
      <c r="AO67" s="83"/>
      <c r="AP67" s="83"/>
      <c r="AQ67" s="83"/>
      <c r="AR67" s="83"/>
      <c r="AS67" s="83"/>
      <c r="AT67" s="83"/>
      <c r="AU67" s="83"/>
      <c r="AV67" s="83"/>
      <c r="AW67" s="83"/>
      <c r="AX67" s="83"/>
      <c r="AY67" s="83"/>
      <c r="AZ67" s="83"/>
      <c r="BA67" s="83"/>
      <c r="BB67" s="83"/>
      <c r="BC67" s="83"/>
      <c r="BD67" s="83"/>
      <c r="BE67" s="83"/>
      <c r="BF67" s="83"/>
      <c r="BG67" s="83"/>
      <c r="BH67" s="83"/>
      <c r="BI67" s="83"/>
      <c r="BJ67" s="83"/>
      <c r="BK67" s="83"/>
      <c r="BL67" s="83"/>
      <c r="BM67" s="83"/>
      <c r="BN67" s="83"/>
      <c r="BO67" s="83"/>
      <c r="BP67" s="83"/>
      <c r="BQ67" s="83"/>
      <c r="BR67" s="83"/>
      <c r="BS67" s="83"/>
      <c r="BT67" s="83"/>
      <c r="BU67" s="83"/>
      <c r="BV67" s="83"/>
    </row>
    <row r="68" spans="1:74" s="84" customFormat="1">
      <c r="A68" s="88" t="str">
        <f>IF(E68&lt;&gt;"",1+MAX($A$43:A67),"")</f>
        <v/>
      </c>
      <c r="B68" s="152"/>
      <c r="C68" s="153"/>
      <c r="D68" s="154"/>
      <c r="E68" s="155"/>
      <c r="F68" s="156"/>
      <c r="G68" s="157"/>
      <c r="H68" s="158"/>
      <c r="I68" s="157"/>
      <c r="J68" s="157"/>
      <c r="K68" s="157"/>
      <c r="L68" s="157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83"/>
      <c r="AZ68" s="83"/>
      <c r="BA68" s="83"/>
      <c r="BB68" s="83"/>
      <c r="BC68" s="83"/>
      <c r="BD68" s="83"/>
      <c r="BE68" s="83"/>
      <c r="BF68" s="83"/>
      <c r="BG68" s="83"/>
      <c r="BH68" s="83"/>
      <c r="BI68" s="83"/>
      <c r="BJ68" s="83"/>
      <c r="BK68" s="83"/>
      <c r="BL68" s="83"/>
      <c r="BM68" s="83"/>
      <c r="BN68" s="83"/>
      <c r="BO68" s="83"/>
      <c r="BP68" s="83"/>
      <c r="BQ68" s="83"/>
      <c r="BR68" s="83"/>
      <c r="BS68" s="83"/>
      <c r="BT68" s="83"/>
      <c r="BU68" s="83"/>
      <c r="BV68" s="83"/>
    </row>
    <row r="69" spans="1:74" s="84" customFormat="1">
      <c r="A69" s="88" t="str">
        <f>IF(E69&lt;&gt;"",1+MAX($A$43:A68),"")</f>
        <v/>
      </c>
      <c r="B69" s="152"/>
      <c r="C69" s="153"/>
      <c r="D69" s="154"/>
      <c r="E69" s="155"/>
      <c r="F69" s="156"/>
      <c r="G69" s="157"/>
      <c r="H69" s="158"/>
      <c r="I69" s="157"/>
      <c r="J69" s="157"/>
      <c r="K69" s="157"/>
      <c r="L69" s="157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83"/>
      <c r="AR69" s="83"/>
      <c r="AS69" s="83"/>
      <c r="AT69" s="83"/>
      <c r="AU69" s="83"/>
      <c r="AV69" s="83"/>
      <c r="AW69" s="83"/>
      <c r="AX69" s="83"/>
      <c r="AY69" s="83"/>
      <c r="AZ69" s="83"/>
      <c r="BA69" s="83"/>
      <c r="BB69" s="83"/>
      <c r="BC69" s="83"/>
      <c r="BD69" s="83"/>
      <c r="BE69" s="83"/>
      <c r="BF69" s="83"/>
      <c r="BG69" s="83"/>
      <c r="BH69" s="83"/>
      <c r="BI69" s="83"/>
      <c r="BJ69" s="83"/>
      <c r="BK69" s="83"/>
      <c r="BL69" s="83"/>
      <c r="BM69" s="83"/>
      <c r="BN69" s="83"/>
      <c r="BO69" s="83"/>
      <c r="BP69" s="83"/>
      <c r="BQ69" s="83"/>
      <c r="BR69" s="83"/>
      <c r="BS69" s="83"/>
      <c r="BT69" s="83"/>
      <c r="BU69" s="83"/>
      <c r="BV69" s="83"/>
    </row>
    <row r="70" spans="1:74" s="84" customFormat="1">
      <c r="A70" s="88" t="str">
        <f>IF(E70&lt;&gt;"",1+MAX($A$43:A69),"")</f>
        <v/>
      </c>
      <c r="B70" s="152"/>
      <c r="C70" s="153"/>
      <c r="D70" s="154"/>
      <c r="E70" s="155"/>
      <c r="F70" s="156"/>
      <c r="G70" s="157"/>
      <c r="H70" s="158"/>
      <c r="I70" s="157"/>
      <c r="J70" s="157"/>
      <c r="K70" s="157"/>
      <c r="L70" s="157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3"/>
      <c r="AV70" s="83"/>
      <c r="AW70" s="83"/>
      <c r="AX70" s="83"/>
      <c r="AY70" s="83"/>
      <c r="AZ70" s="83"/>
      <c r="BA70" s="83"/>
      <c r="BB70" s="83"/>
      <c r="BC70" s="83"/>
      <c r="BD70" s="83"/>
      <c r="BE70" s="83"/>
      <c r="BF70" s="83"/>
      <c r="BG70" s="83"/>
      <c r="BH70" s="83"/>
      <c r="BI70" s="83"/>
      <c r="BJ70" s="83"/>
      <c r="BK70" s="83"/>
      <c r="BL70" s="83"/>
      <c r="BM70" s="83"/>
      <c r="BN70" s="83"/>
      <c r="BO70" s="83"/>
      <c r="BP70" s="83"/>
      <c r="BQ70" s="83"/>
      <c r="BR70" s="83"/>
      <c r="BS70" s="83"/>
      <c r="BT70" s="83"/>
      <c r="BU70" s="83"/>
      <c r="BV70" s="83"/>
    </row>
    <row r="71" spans="1:74" s="84" customFormat="1">
      <c r="A71" s="88" t="str">
        <f>IF(E71&lt;&gt;"",1+MAX($A$43:A70),"")</f>
        <v/>
      </c>
      <c r="B71" s="152"/>
      <c r="C71" s="153"/>
      <c r="D71" s="154"/>
      <c r="E71" s="155"/>
      <c r="F71" s="156"/>
      <c r="G71" s="157"/>
      <c r="H71" s="158"/>
      <c r="I71" s="157"/>
      <c r="J71" s="157"/>
      <c r="K71" s="157"/>
      <c r="L71" s="157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83"/>
      <c r="AR71" s="83"/>
      <c r="AS71" s="83"/>
      <c r="AT71" s="83"/>
      <c r="AU71" s="83"/>
      <c r="AV71" s="83"/>
      <c r="AW71" s="83"/>
      <c r="AX71" s="83"/>
      <c r="AY71" s="83"/>
      <c r="AZ71" s="83"/>
      <c r="BA71" s="83"/>
      <c r="BB71" s="83"/>
      <c r="BC71" s="83"/>
      <c r="BD71" s="83"/>
      <c r="BE71" s="83"/>
      <c r="BF71" s="83"/>
      <c r="BG71" s="83"/>
      <c r="BH71" s="83"/>
      <c r="BI71" s="83"/>
      <c r="BJ71" s="83"/>
      <c r="BK71" s="83"/>
      <c r="BL71" s="83"/>
      <c r="BM71" s="83"/>
      <c r="BN71" s="83"/>
      <c r="BO71" s="83"/>
      <c r="BP71" s="83"/>
      <c r="BQ71" s="83"/>
      <c r="BR71" s="83"/>
      <c r="BS71" s="83"/>
      <c r="BT71" s="83"/>
      <c r="BU71" s="83"/>
      <c r="BV71" s="83"/>
    </row>
    <row r="72" spans="1:74" s="84" customFormat="1">
      <c r="A72" s="88" t="str">
        <f>IF(E72&lt;&gt;"",1+MAX($A$43:A71),"")</f>
        <v/>
      </c>
      <c r="B72" s="152"/>
      <c r="C72" s="153"/>
      <c r="D72" s="154"/>
      <c r="E72" s="155"/>
      <c r="F72" s="156"/>
      <c r="G72" s="157"/>
      <c r="H72" s="158"/>
      <c r="I72" s="157"/>
      <c r="J72" s="157"/>
      <c r="K72" s="157"/>
      <c r="L72" s="157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  <c r="AE72" s="83"/>
      <c r="AF72" s="83"/>
      <c r="AG72" s="83"/>
      <c r="AH72" s="83"/>
      <c r="AI72" s="83"/>
      <c r="AJ72" s="83"/>
      <c r="AK72" s="83"/>
      <c r="AL72" s="83"/>
      <c r="AM72" s="83"/>
      <c r="AN72" s="83"/>
      <c r="AO72" s="83"/>
      <c r="AP72" s="83"/>
      <c r="AQ72" s="83"/>
      <c r="AR72" s="83"/>
      <c r="AS72" s="83"/>
      <c r="AT72" s="83"/>
      <c r="AU72" s="83"/>
      <c r="AV72" s="83"/>
      <c r="AW72" s="83"/>
      <c r="AX72" s="83"/>
      <c r="AY72" s="83"/>
      <c r="AZ72" s="83"/>
      <c r="BA72" s="83"/>
      <c r="BB72" s="83"/>
      <c r="BC72" s="83"/>
      <c r="BD72" s="83"/>
      <c r="BE72" s="83"/>
      <c r="BF72" s="83"/>
      <c r="BG72" s="83"/>
      <c r="BH72" s="83"/>
      <c r="BI72" s="83"/>
      <c r="BJ72" s="83"/>
      <c r="BK72" s="83"/>
      <c r="BL72" s="83"/>
      <c r="BM72" s="83"/>
      <c r="BN72" s="83"/>
      <c r="BO72" s="83"/>
      <c r="BP72" s="83"/>
      <c r="BQ72" s="83"/>
      <c r="BR72" s="83"/>
      <c r="BS72" s="83"/>
      <c r="BT72" s="83"/>
      <c r="BU72" s="83"/>
      <c r="BV72" s="83"/>
    </row>
    <row r="73" spans="1:74" s="84" customFormat="1">
      <c r="A73" s="88" t="str">
        <f>IF(E73&lt;&gt;"",1+MAX($A$43:A72),"")</f>
        <v/>
      </c>
      <c r="B73" s="152"/>
      <c r="C73" s="153"/>
      <c r="D73" s="154"/>
      <c r="E73" s="155"/>
      <c r="F73" s="156"/>
      <c r="G73" s="157"/>
      <c r="H73" s="158"/>
      <c r="I73" s="157"/>
      <c r="J73" s="157"/>
      <c r="K73" s="157"/>
      <c r="L73" s="157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  <c r="AE73" s="83"/>
      <c r="AF73" s="83"/>
      <c r="AG73" s="83"/>
      <c r="AH73" s="83"/>
      <c r="AI73" s="83"/>
      <c r="AJ73" s="83"/>
      <c r="AK73" s="83"/>
      <c r="AL73" s="83"/>
      <c r="AM73" s="83"/>
      <c r="AN73" s="83"/>
      <c r="AO73" s="83"/>
      <c r="AP73" s="83"/>
      <c r="AQ73" s="83"/>
      <c r="AR73" s="83"/>
      <c r="AS73" s="83"/>
      <c r="AT73" s="83"/>
      <c r="AU73" s="83"/>
      <c r="AV73" s="83"/>
      <c r="AW73" s="83"/>
      <c r="AX73" s="83"/>
      <c r="AY73" s="83"/>
      <c r="AZ73" s="83"/>
      <c r="BA73" s="83"/>
      <c r="BB73" s="83"/>
      <c r="BC73" s="83"/>
      <c r="BD73" s="83"/>
      <c r="BE73" s="83"/>
      <c r="BF73" s="83"/>
      <c r="BG73" s="83"/>
      <c r="BH73" s="83"/>
      <c r="BI73" s="83"/>
      <c r="BJ73" s="83"/>
      <c r="BK73" s="83"/>
      <c r="BL73" s="83"/>
      <c r="BM73" s="83"/>
      <c r="BN73" s="83"/>
      <c r="BO73" s="83"/>
      <c r="BP73" s="83"/>
      <c r="BQ73" s="83"/>
      <c r="BR73" s="83"/>
      <c r="BS73" s="83"/>
      <c r="BT73" s="83"/>
      <c r="BU73" s="83"/>
      <c r="BV73" s="83"/>
    </row>
    <row r="74" spans="1:74" s="84" customFormat="1">
      <c r="A74" s="88" t="str">
        <f>IF(E74&lt;&gt;"",1+MAX($A$43:A73),"")</f>
        <v/>
      </c>
      <c r="B74" s="152"/>
      <c r="C74" s="153"/>
      <c r="D74" s="154"/>
      <c r="E74" s="155"/>
      <c r="F74" s="156"/>
      <c r="G74" s="157"/>
      <c r="H74" s="158"/>
      <c r="I74" s="157"/>
      <c r="J74" s="157"/>
      <c r="K74" s="157"/>
      <c r="L74" s="157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  <c r="AE74" s="83"/>
      <c r="AF74" s="83"/>
      <c r="AG74" s="83"/>
      <c r="AH74" s="83"/>
      <c r="AI74" s="83"/>
      <c r="AJ74" s="83"/>
      <c r="AK74" s="83"/>
      <c r="AL74" s="83"/>
      <c r="AM74" s="83"/>
      <c r="AN74" s="83"/>
      <c r="AO74" s="83"/>
      <c r="AP74" s="83"/>
      <c r="AQ74" s="83"/>
      <c r="AR74" s="83"/>
      <c r="AS74" s="83"/>
      <c r="AT74" s="83"/>
      <c r="AU74" s="83"/>
      <c r="AV74" s="83"/>
      <c r="AW74" s="83"/>
      <c r="AX74" s="83"/>
      <c r="AY74" s="83"/>
      <c r="AZ74" s="83"/>
      <c r="BA74" s="83"/>
      <c r="BB74" s="83"/>
      <c r="BC74" s="83"/>
      <c r="BD74" s="83"/>
      <c r="BE74" s="83"/>
      <c r="BF74" s="83"/>
      <c r="BG74" s="83"/>
      <c r="BH74" s="83"/>
      <c r="BI74" s="83"/>
      <c r="BJ74" s="83"/>
      <c r="BK74" s="83"/>
      <c r="BL74" s="83"/>
      <c r="BM74" s="83"/>
      <c r="BN74" s="83"/>
      <c r="BO74" s="83"/>
      <c r="BP74" s="83"/>
      <c r="BQ74" s="83"/>
      <c r="BR74" s="83"/>
      <c r="BS74" s="83"/>
      <c r="BT74" s="83"/>
      <c r="BU74" s="83"/>
      <c r="BV74" s="83"/>
    </row>
    <row r="75" spans="1:74" s="84" customFormat="1">
      <c r="A75" s="88" t="str">
        <f>IF(E75&lt;&gt;"",1+MAX($A$43:A74),"")</f>
        <v/>
      </c>
      <c r="B75" s="152"/>
      <c r="C75" s="153"/>
      <c r="D75" s="154"/>
      <c r="E75" s="155"/>
      <c r="F75" s="156"/>
      <c r="G75" s="157"/>
      <c r="H75" s="158"/>
      <c r="I75" s="157"/>
      <c r="J75" s="157"/>
      <c r="K75" s="157"/>
      <c r="L75" s="157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  <c r="AE75" s="83"/>
      <c r="AF75" s="83"/>
      <c r="AG75" s="83"/>
      <c r="AH75" s="83"/>
      <c r="AI75" s="83"/>
      <c r="AJ75" s="83"/>
      <c r="AK75" s="83"/>
      <c r="AL75" s="83"/>
      <c r="AM75" s="83"/>
      <c r="AN75" s="83"/>
      <c r="AO75" s="83"/>
      <c r="AP75" s="83"/>
      <c r="AQ75" s="83"/>
      <c r="AR75" s="83"/>
      <c r="AS75" s="83"/>
      <c r="AT75" s="83"/>
      <c r="AU75" s="83"/>
      <c r="AV75" s="83"/>
      <c r="AW75" s="83"/>
      <c r="AX75" s="83"/>
      <c r="AY75" s="83"/>
      <c r="AZ75" s="83"/>
      <c r="BA75" s="83"/>
      <c r="BB75" s="83"/>
      <c r="BC75" s="83"/>
      <c r="BD75" s="83"/>
      <c r="BE75" s="83"/>
      <c r="BF75" s="83"/>
      <c r="BG75" s="83"/>
      <c r="BH75" s="83"/>
      <c r="BI75" s="83"/>
      <c r="BJ75" s="83"/>
      <c r="BK75" s="83"/>
      <c r="BL75" s="83"/>
      <c r="BM75" s="83"/>
      <c r="BN75" s="83"/>
      <c r="BO75" s="83"/>
      <c r="BP75" s="83"/>
      <c r="BQ75" s="83"/>
      <c r="BR75" s="83"/>
      <c r="BS75" s="83"/>
      <c r="BT75" s="83"/>
      <c r="BU75" s="83"/>
      <c r="BV75" s="83"/>
    </row>
    <row r="76" spans="1:74" s="84" customFormat="1">
      <c r="A76" s="88" t="str">
        <f>IF(E76&lt;&gt;"",1+MAX($A$43:A75),"")</f>
        <v/>
      </c>
      <c r="B76" s="152"/>
      <c r="C76" s="153"/>
      <c r="D76" s="154"/>
      <c r="E76" s="155"/>
      <c r="F76" s="156"/>
      <c r="G76" s="157"/>
      <c r="H76" s="158"/>
      <c r="I76" s="157"/>
      <c r="J76" s="157"/>
      <c r="K76" s="157"/>
      <c r="L76" s="157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  <c r="AE76" s="83"/>
      <c r="AF76" s="83"/>
      <c r="AG76" s="83"/>
      <c r="AH76" s="83"/>
      <c r="AI76" s="83"/>
      <c r="AJ76" s="83"/>
      <c r="AK76" s="83"/>
      <c r="AL76" s="83"/>
      <c r="AM76" s="83"/>
      <c r="AN76" s="83"/>
      <c r="AO76" s="83"/>
      <c r="AP76" s="83"/>
      <c r="AQ76" s="83"/>
      <c r="AR76" s="83"/>
      <c r="AS76" s="83"/>
      <c r="AT76" s="83"/>
      <c r="AU76" s="83"/>
      <c r="AV76" s="83"/>
      <c r="AW76" s="83"/>
      <c r="AX76" s="83"/>
      <c r="AY76" s="83"/>
      <c r="AZ76" s="83"/>
      <c r="BA76" s="83"/>
      <c r="BB76" s="83"/>
      <c r="BC76" s="83"/>
      <c r="BD76" s="83"/>
      <c r="BE76" s="83"/>
      <c r="BF76" s="83"/>
      <c r="BG76" s="83"/>
      <c r="BH76" s="83"/>
      <c r="BI76" s="83"/>
      <c r="BJ76" s="83"/>
      <c r="BK76" s="83"/>
      <c r="BL76" s="83"/>
      <c r="BM76" s="83"/>
      <c r="BN76" s="83"/>
      <c r="BO76" s="83"/>
      <c r="BP76" s="83"/>
      <c r="BQ76" s="83"/>
      <c r="BR76" s="83"/>
      <c r="BS76" s="83"/>
      <c r="BT76" s="83"/>
      <c r="BU76" s="83"/>
      <c r="BV76" s="83"/>
    </row>
    <row r="77" spans="1:74" s="84" customFormat="1">
      <c r="A77" s="88" t="str">
        <f>IF(E77&lt;&gt;"",1+MAX($A$43:A76),"")</f>
        <v/>
      </c>
      <c r="B77" s="152"/>
      <c r="C77" s="153"/>
      <c r="D77" s="154"/>
      <c r="E77" s="155"/>
      <c r="F77" s="156"/>
      <c r="G77" s="157"/>
      <c r="H77" s="158"/>
      <c r="I77" s="157"/>
      <c r="J77" s="157"/>
      <c r="K77" s="157"/>
      <c r="L77" s="157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  <c r="AD77" s="83"/>
      <c r="AE77" s="83"/>
      <c r="AF77" s="83"/>
      <c r="AG77" s="83"/>
      <c r="AH77" s="83"/>
      <c r="AI77" s="83"/>
      <c r="AJ77" s="83"/>
      <c r="AK77" s="83"/>
      <c r="AL77" s="83"/>
      <c r="AM77" s="83"/>
      <c r="AN77" s="83"/>
      <c r="AO77" s="83"/>
      <c r="AP77" s="83"/>
      <c r="AQ77" s="83"/>
      <c r="AR77" s="83"/>
      <c r="AS77" s="83"/>
      <c r="AT77" s="83"/>
      <c r="AU77" s="83"/>
      <c r="AV77" s="83"/>
      <c r="AW77" s="83"/>
      <c r="AX77" s="83"/>
      <c r="AY77" s="83"/>
      <c r="AZ77" s="83"/>
      <c r="BA77" s="83"/>
      <c r="BB77" s="83"/>
      <c r="BC77" s="83"/>
      <c r="BD77" s="83"/>
      <c r="BE77" s="83"/>
      <c r="BF77" s="83"/>
      <c r="BG77" s="83"/>
      <c r="BH77" s="83"/>
      <c r="BI77" s="83"/>
      <c r="BJ77" s="83"/>
      <c r="BK77" s="83"/>
      <c r="BL77" s="83"/>
      <c r="BM77" s="83"/>
      <c r="BN77" s="83"/>
      <c r="BO77" s="83"/>
      <c r="BP77" s="83"/>
      <c r="BQ77" s="83"/>
      <c r="BR77" s="83"/>
      <c r="BS77" s="83"/>
      <c r="BT77" s="83"/>
      <c r="BU77" s="83"/>
      <c r="BV77" s="83"/>
    </row>
    <row r="78" spans="1:74" s="84" customFormat="1">
      <c r="A78" s="88" t="str">
        <f>IF(E78&lt;&gt;"",1+MAX($A$43:A77),"")</f>
        <v/>
      </c>
      <c r="B78" s="152"/>
      <c r="C78" s="153"/>
      <c r="D78" s="154"/>
      <c r="E78" s="155"/>
      <c r="F78" s="156"/>
      <c r="G78" s="157"/>
      <c r="H78" s="158"/>
      <c r="I78" s="157"/>
      <c r="J78" s="157"/>
      <c r="K78" s="157"/>
      <c r="L78" s="157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3"/>
      <c r="BB78" s="83"/>
      <c r="BC78" s="83"/>
      <c r="BD78" s="83"/>
      <c r="BE78" s="83"/>
      <c r="BF78" s="83"/>
      <c r="BG78" s="83"/>
      <c r="BH78" s="83"/>
      <c r="BI78" s="83"/>
      <c r="BJ78" s="83"/>
      <c r="BK78" s="83"/>
      <c r="BL78" s="83"/>
      <c r="BM78" s="83"/>
      <c r="BN78" s="83"/>
      <c r="BO78" s="83"/>
      <c r="BP78" s="83"/>
      <c r="BQ78" s="83"/>
      <c r="BR78" s="83"/>
      <c r="BS78" s="83"/>
      <c r="BT78" s="83"/>
      <c r="BU78" s="83"/>
      <c r="BV78" s="83"/>
    </row>
    <row r="79" spans="1:74" s="84" customFormat="1">
      <c r="A79" s="88" t="str">
        <f>IF(E79&lt;&gt;"",1+MAX($A$43:A78),"")</f>
        <v/>
      </c>
      <c r="B79" s="152"/>
      <c r="C79" s="153"/>
      <c r="D79" s="154"/>
      <c r="E79" s="155"/>
      <c r="F79" s="156"/>
      <c r="G79" s="157"/>
      <c r="H79" s="158"/>
      <c r="I79" s="157"/>
      <c r="J79" s="157"/>
      <c r="K79" s="157"/>
      <c r="L79" s="157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  <c r="AD79" s="83"/>
      <c r="AE79" s="83"/>
      <c r="AF79" s="83"/>
      <c r="AG79" s="83"/>
      <c r="AH79" s="83"/>
      <c r="AI79" s="83"/>
      <c r="AJ79" s="83"/>
      <c r="AK79" s="83"/>
      <c r="AL79" s="83"/>
      <c r="AM79" s="83"/>
      <c r="AN79" s="83"/>
      <c r="AO79" s="83"/>
      <c r="AP79" s="83"/>
      <c r="AQ79" s="83"/>
      <c r="AR79" s="83"/>
      <c r="AS79" s="83"/>
      <c r="AT79" s="83"/>
      <c r="AU79" s="83"/>
      <c r="AV79" s="83"/>
      <c r="AW79" s="83"/>
      <c r="AX79" s="83"/>
      <c r="AY79" s="83"/>
      <c r="AZ79" s="83"/>
      <c r="BA79" s="83"/>
      <c r="BB79" s="83"/>
      <c r="BC79" s="83"/>
      <c r="BD79" s="83"/>
      <c r="BE79" s="83"/>
      <c r="BF79" s="83"/>
      <c r="BG79" s="83"/>
      <c r="BH79" s="83"/>
      <c r="BI79" s="83"/>
      <c r="BJ79" s="83"/>
      <c r="BK79" s="83"/>
      <c r="BL79" s="83"/>
      <c r="BM79" s="83"/>
      <c r="BN79" s="83"/>
      <c r="BO79" s="83"/>
      <c r="BP79" s="83"/>
      <c r="BQ79" s="83"/>
      <c r="BR79" s="83"/>
      <c r="BS79" s="83"/>
      <c r="BT79" s="83"/>
      <c r="BU79" s="83"/>
      <c r="BV79" s="83"/>
    </row>
    <row r="80" spans="1:74" s="84" customFormat="1">
      <c r="A80" s="88" t="str">
        <f>IF(E80&lt;&gt;"",1+MAX($A$43:A79),"")</f>
        <v/>
      </c>
      <c r="B80" s="152"/>
      <c r="C80" s="160"/>
      <c r="D80" s="161"/>
      <c r="E80" s="162"/>
      <c r="F80" s="83"/>
      <c r="G80" s="163"/>
      <c r="H80" s="164"/>
      <c r="I80" s="83"/>
      <c r="J80" s="83"/>
      <c r="K80" s="157"/>
      <c r="L80" s="157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  <c r="AE80" s="83"/>
      <c r="AF80" s="83"/>
      <c r="AG80" s="83"/>
      <c r="AH80" s="83"/>
      <c r="AI80" s="83"/>
      <c r="AJ80" s="83"/>
      <c r="AK80" s="83"/>
      <c r="AL80" s="83"/>
      <c r="AM80" s="83"/>
      <c r="AN80" s="83"/>
      <c r="AO80" s="83"/>
      <c r="AP80" s="83"/>
      <c r="AQ80" s="83"/>
      <c r="AR80" s="83"/>
      <c r="AS80" s="83"/>
      <c r="AT80" s="83"/>
      <c r="AU80" s="83"/>
      <c r="AV80" s="83"/>
      <c r="AW80" s="83"/>
      <c r="AX80" s="83"/>
      <c r="AY80" s="83"/>
      <c r="AZ80" s="83"/>
      <c r="BA80" s="83"/>
      <c r="BB80" s="83"/>
      <c r="BC80" s="83"/>
      <c r="BD80" s="83"/>
      <c r="BE80" s="83"/>
      <c r="BF80" s="83"/>
      <c r="BG80" s="83"/>
      <c r="BH80" s="83"/>
      <c r="BI80" s="83"/>
      <c r="BJ80" s="83"/>
      <c r="BK80" s="83"/>
      <c r="BL80" s="83"/>
      <c r="BM80" s="83"/>
      <c r="BN80" s="83"/>
      <c r="BO80" s="83"/>
      <c r="BP80" s="83"/>
      <c r="BQ80" s="83"/>
      <c r="BR80" s="83"/>
      <c r="BS80" s="83"/>
      <c r="BT80" s="83"/>
      <c r="BU80" s="83"/>
      <c r="BV80" s="83"/>
    </row>
    <row r="81" spans="1:74" s="84" customFormat="1">
      <c r="A81" s="88" t="str">
        <f>IF(E81&lt;&gt;"",1+MAX($A$43:A80),"")</f>
        <v/>
      </c>
      <c r="B81" s="152"/>
      <c r="C81" s="160"/>
      <c r="D81" s="161"/>
      <c r="E81" s="162"/>
      <c r="F81" s="83"/>
      <c r="G81" s="163"/>
      <c r="H81" s="164"/>
      <c r="I81" s="83"/>
      <c r="J81" s="83"/>
      <c r="K81" s="157"/>
      <c r="L81" s="157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3"/>
      <c r="AT81" s="83"/>
      <c r="AU81" s="83"/>
      <c r="AV81" s="83"/>
      <c r="AW81" s="83"/>
      <c r="AX81" s="83"/>
      <c r="AY81" s="83"/>
      <c r="AZ81" s="83"/>
      <c r="BA81" s="83"/>
      <c r="BB81" s="83"/>
      <c r="BC81" s="83"/>
      <c r="BD81" s="83"/>
      <c r="BE81" s="83"/>
      <c r="BF81" s="83"/>
      <c r="BG81" s="83"/>
      <c r="BH81" s="83"/>
      <c r="BI81" s="83"/>
      <c r="BJ81" s="83"/>
      <c r="BK81" s="83"/>
      <c r="BL81" s="83"/>
      <c r="BM81" s="83"/>
      <c r="BN81" s="83"/>
      <c r="BO81" s="83"/>
      <c r="BP81" s="83"/>
      <c r="BQ81" s="83"/>
      <c r="BR81" s="83"/>
      <c r="BS81" s="83"/>
      <c r="BT81" s="83"/>
      <c r="BU81" s="83"/>
      <c r="BV81" s="83"/>
    </row>
    <row r="82" spans="1:74" s="84" customFormat="1">
      <c r="A82" s="88" t="str">
        <f>IF(E82&lt;&gt;"",1+MAX($A$43:A81),"")</f>
        <v/>
      </c>
      <c r="B82" s="152"/>
      <c r="C82" s="160"/>
      <c r="D82" s="161"/>
      <c r="E82" s="162"/>
      <c r="F82" s="83"/>
      <c r="G82" s="163"/>
      <c r="H82" s="164"/>
      <c r="I82" s="83"/>
      <c r="J82" s="83"/>
      <c r="K82" s="157"/>
      <c r="L82" s="157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  <c r="AD82" s="83"/>
      <c r="AE82" s="83"/>
      <c r="AF82" s="83"/>
      <c r="AG82" s="83"/>
      <c r="AH82" s="83"/>
      <c r="AI82" s="83"/>
      <c r="AJ82" s="83"/>
      <c r="AK82" s="83"/>
      <c r="AL82" s="83"/>
      <c r="AM82" s="83"/>
      <c r="AN82" s="83"/>
      <c r="AO82" s="83"/>
      <c r="AP82" s="83"/>
      <c r="AQ82" s="83"/>
      <c r="AR82" s="83"/>
      <c r="AS82" s="83"/>
      <c r="AT82" s="83"/>
      <c r="AU82" s="83"/>
      <c r="AV82" s="83"/>
      <c r="AW82" s="83"/>
      <c r="AX82" s="83"/>
      <c r="AY82" s="83"/>
      <c r="AZ82" s="83"/>
      <c r="BA82" s="83"/>
      <c r="BB82" s="83"/>
      <c r="BC82" s="83"/>
      <c r="BD82" s="83"/>
      <c r="BE82" s="83"/>
      <c r="BF82" s="83"/>
      <c r="BG82" s="83"/>
      <c r="BH82" s="83"/>
      <c r="BI82" s="83"/>
      <c r="BJ82" s="83"/>
      <c r="BK82" s="83"/>
      <c r="BL82" s="83"/>
      <c r="BM82" s="83"/>
      <c r="BN82" s="83"/>
      <c r="BO82" s="83"/>
      <c r="BP82" s="83"/>
      <c r="BQ82" s="83"/>
      <c r="BR82" s="83"/>
      <c r="BS82" s="83"/>
      <c r="BT82" s="83"/>
      <c r="BU82" s="83"/>
      <c r="BV82" s="83"/>
    </row>
    <row r="83" spans="1:74" s="84" customFormat="1">
      <c r="A83" s="88" t="str">
        <f>IF(E83&lt;&gt;"",1+MAX($A$43:A82),"")</f>
        <v/>
      </c>
      <c r="B83" s="152"/>
      <c r="C83" s="160"/>
      <c r="D83" s="161"/>
      <c r="E83" s="162"/>
      <c r="F83" s="83"/>
      <c r="G83" s="163"/>
      <c r="H83" s="164"/>
      <c r="I83" s="83"/>
      <c r="J83" s="83"/>
      <c r="K83" s="157"/>
      <c r="L83" s="157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  <c r="AD83" s="83"/>
      <c r="AE83" s="83"/>
      <c r="AF83" s="83"/>
      <c r="AG83" s="83"/>
      <c r="AH83" s="83"/>
      <c r="AI83" s="83"/>
      <c r="AJ83" s="83"/>
      <c r="AK83" s="83"/>
      <c r="AL83" s="83"/>
      <c r="AM83" s="83"/>
      <c r="AN83" s="83"/>
      <c r="AO83" s="83"/>
      <c r="AP83" s="83"/>
      <c r="AQ83" s="83"/>
      <c r="AR83" s="83"/>
      <c r="AS83" s="83"/>
      <c r="AT83" s="83"/>
      <c r="AU83" s="83"/>
      <c r="AV83" s="83"/>
      <c r="AW83" s="83"/>
      <c r="AX83" s="83"/>
      <c r="AY83" s="83"/>
      <c r="AZ83" s="83"/>
      <c r="BA83" s="83"/>
      <c r="BB83" s="83"/>
      <c r="BC83" s="83"/>
      <c r="BD83" s="83"/>
      <c r="BE83" s="83"/>
      <c r="BF83" s="83"/>
      <c r="BG83" s="83"/>
      <c r="BH83" s="83"/>
      <c r="BI83" s="83"/>
      <c r="BJ83" s="83"/>
      <c r="BK83" s="83"/>
      <c r="BL83" s="83"/>
      <c r="BM83" s="83"/>
      <c r="BN83" s="83"/>
      <c r="BO83" s="83"/>
      <c r="BP83" s="83"/>
      <c r="BQ83" s="83"/>
      <c r="BR83" s="83"/>
      <c r="BS83" s="83"/>
      <c r="BT83" s="83"/>
      <c r="BU83" s="83"/>
      <c r="BV83" s="83"/>
    </row>
    <row r="84" spans="1:74" s="84" customFormat="1">
      <c r="A84" s="88" t="str">
        <f>IF(E84&lt;&gt;"",1+MAX($A$43:A83),"")</f>
        <v/>
      </c>
      <c r="B84" s="152"/>
      <c r="C84" s="160"/>
      <c r="D84" s="161"/>
      <c r="E84" s="162"/>
      <c r="F84" s="83"/>
      <c r="G84" s="163"/>
      <c r="H84" s="164"/>
      <c r="I84" s="83"/>
      <c r="J84" s="83"/>
      <c r="K84" s="157"/>
      <c r="L84" s="157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83"/>
      <c r="AE84" s="83"/>
      <c r="AF84" s="83"/>
      <c r="AG84" s="83"/>
      <c r="AH84" s="83"/>
      <c r="AI84" s="83"/>
      <c r="AJ84" s="83"/>
      <c r="AK84" s="83"/>
      <c r="AL84" s="83"/>
      <c r="AM84" s="83"/>
      <c r="AN84" s="83"/>
      <c r="AO84" s="83"/>
      <c r="AP84" s="83"/>
      <c r="AQ84" s="83"/>
      <c r="AR84" s="83"/>
      <c r="AS84" s="83"/>
      <c r="AT84" s="83"/>
      <c r="AU84" s="83"/>
      <c r="AV84" s="83"/>
      <c r="AW84" s="83"/>
      <c r="AX84" s="83"/>
      <c r="AY84" s="83"/>
      <c r="AZ84" s="83"/>
      <c r="BA84" s="83"/>
      <c r="BB84" s="83"/>
      <c r="BC84" s="83"/>
      <c r="BD84" s="83"/>
      <c r="BE84" s="83"/>
      <c r="BF84" s="83"/>
      <c r="BG84" s="83"/>
      <c r="BH84" s="83"/>
      <c r="BI84" s="83"/>
      <c r="BJ84" s="83"/>
      <c r="BK84" s="83"/>
      <c r="BL84" s="83"/>
      <c r="BM84" s="83"/>
      <c r="BN84" s="83"/>
      <c r="BO84" s="83"/>
      <c r="BP84" s="83"/>
      <c r="BQ84" s="83"/>
      <c r="BR84" s="83"/>
      <c r="BS84" s="83"/>
      <c r="BT84" s="83"/>
      <c r="BU84" s="83"/>
      <c r="BV84" s="83"/>
    </row>
    <row r="85" spans="1:74" s="84" customFormat="1">
      <c r="A85" s="88" t="str">
        <f>IF(E85&lt;&gt;"",1+MAX($A$43:A84),"")</f>
        <v/>
      </c>
      <c r="B85" s="152"/>
      <c r="C85" s="160"/>
      <c r="D85" s="161"/>
      <c r="E85" s="162"/>
      <c r="F85" s="83"/>
      <c r="G85" s="163"/>
      <c r="H85" s="164"/>
      <c r="I85" s="83"/>
      <c r="J85" s="83"/>
      <c r="K85" s="157"/>
      <c r="L85" s="157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  <c r="AD85" s="83"/>
      <c r="AE85" s="83"/>
      <c r="AF85" s="83"/>
      <c r="AG85" s="83"/>
      <c r="AH85" s="83"/>
      <c r="AI85" s="83"/>
      <c r="AJ85" s="83"/>
      <c r="AK85" s="83"/>
      <c r="AL85" s="83"/>
      <c r="AM85" s="83"/>
      <c r="AN85" s="83"/>
      <c r="AO85" s="83"/>
      <c r="AP85" s="83"/>
      <c r="AQ85" s="83"/>
      <c r="AR85" s="83"/>
      <c r="AS85" s="83"/>
      <c r="AT85" s="83"/>
      <c r="AU85" s="83"/>
      <c r="AV85" s="83"/>
      <c r="AW85" s="83"/>
      <c r="AX85" s="83"/>
      <c r="AY85" s="83"/>
      <c r="AZ85" s="83"/>
      <c r="BA85" s="83"/>
      <c r="BB85" s="83"/>
      <c r="BC85" s="83"/>
      <c r="BD85" s="83"/>
      <c r="BE85" s="83"/>
      <c r="BF85" s="83"/>
      <c r="BG85" s="83"/>
      <c r="BH85" s="83"/>
      <c r="BI85" s="83"/>
      <c r="BJ85" s="83"/>
      <c r="BK85" s="83"/>
      <c r="BL85" s="83"/>
      <c r="BM85" s="83"/>
      <c r="BN85" s="83"/>
      <c r="BO85" s="83"/>
      <c r="BP85" s="83"/>
      <c r="BQ85" s="83"/>
      <c r="BR85" s="83"/>
      <c r="BS85" s="83"/>
      <c r="BT85" s="83"/>
      <c r="BU85" s="83"/>
      <c r="BV85" s="83"/>
    </row>
    <row r="86" spans="1:74" s="84" customFormat="1">
      <c r="A86" s="88" t="str">
        <f>IF(E86&lt;&gt;"",1+MAX($A$43:A85),"")</f>
        <v/>
      </c>
      <c r="B86" s="152"/>
      <c r="C86" s="160"/>
      <c r="D86" s="161"/>
      <c r="E86" s="162"/>
      <c r="F86" s="83"/>
      <c r="G86" s="163"/>
      <c r="H86" s="164"/>
      <c r="I86" s="83"/>
      <c r="J86" s="83"/>
      <c r="K86" s="157"/>
      <c r="L86" s="157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  <c r="AB86" s="83"/>
      <c r="AC86" s="83"/>
      <c r="AD86" s="83"/>
      <c r="AE86" s="83"/>
      <c r="AF86" s="83"/>
      <c r="AG86" s="83"/>
      <c r="AH86" s="83"/>
      <c r="AI86" s="83"/>
      <c r="AJ86" s="83"/>
      <c r="AK86" s="83"/>
      <c r="AL86" s="83"/>
      <c r="AM86" s="83"/>
      <c r="AN86" s="83"/>
      <c r="AO86" s="83"/>
      <c r="AP86" s="83"/>
      <c r="AQ86" s="83"/>
      <c r="AR86" s="83"/>
      <c r="AS86" s="83"/>
      <c r="AT86" s="83"/>
      <c r="AU86" s="83"/>
      <c r="AV86" s="83"/>
      <c r="AW86" s="83"/>
      <c r="AX86" s="83"/>
      <c r="AY86" s="83"/>
      <c r="AZ86" s="83"/>
      <c r="BA86" s="83"/>
      <c r="BB86" s="83"/>
      <c r="BC86" s="83"/>
      <c r="BD86" s="83"/>
      <c r="BE86" s="83"/>
      <c r="BF86" s="83"/>
      <c r="BG86" s="83"/>
      <c r="BH86" s="83"/>
      <c r="BI86" s="83"/>
      <c r="BJ86" s="83"/>
      <c r="BK86" s="83"/>
      <c r="BL86" s="83"/>
      <c r="BM86" s="83"/>
      <c r="BN86" s="83"/>
      <c r="BO86" s="83"/>
      <c r="BP86" s="83"/>
      <c r="BQ86" s="83"/>
      <c r="BR86" s="83"/>
      <c r="BS86" s="83"/>
      <c r="BT86" s="83"/>
      <c r="BU86" s="83"/>
      <c r="BV86" s="83"/>
    </row>
    <row r="87" spans="1:74">
      <c r="A87" s="88" t="str">
        <f>IF(E87&lt;&gt;"",1+MAX($A$43:A86),"")</f>
        <v/>
      </c>
      <c r="K87" s="157"/>
      <c r="L87" s="157"/>
    </row>
    <row r="88" spans="1:74">
      <c r="A88" s="88" t="str">
        <f>IF(E88&lt;&gt;"",1+MAX($A$43:A87),"")</f>
        <v/>
      </c>
      <c r="K88" s="157"/>
      <c r="L88" s="157"/>
    </row>
    <row r="89" spans="1:74">
      <c r="A89" s="88" t="str">
        <f>IF(E89&lt;&gt;"",1+MAX($A$43:A88),"")</f>
        <v/>
      </c>
      <c r="K89" s="157"/>
      <c r="L89" s="157"/>
    </row>
    <row r="90" spans="1:74">
      <c r="A90" s="88" t="str">
        <f>IF(E90&lt;&gt;"",1+MAX($A$43:A89),"")</f>
        <v/>
      </c>
      <c r="K90" s="157"/>
      <c r="L90" s="157"/>
    </row>
    <row r="91" spans="1:74">
      <c r="A91" s="88" t="str">
        <f>IF(E91&lt;&gt;"",1+MAX($A$43:A90),"")</f>
        <v/>
      </c>
      <c r="K91" s="157"/>
      <c r="L91" s="157"/>
    </row>
    <row r="92" spans="1:74">
      <c r="A92" s="88" t="str">
        <f>IF(E92&lt;&gt;"",1+MAX($A$43:A91),"")</f>
        <v/>
      </c>
      <c r="K92" s="157"/>
      <c r="L92" s="157"/>
    </row>
    <row r="93" spans="1:74">
      <c r="A93" s="88" t="str">
        <f>IF(E93&lt;&gt;"",1+MAX($A$43:A92),"")</f>
        <v/>
      </c>
      <c r="K93" s="157"/>
      <c r="L93" s="157"/>
    </row>
    <row r="94" spans="1:74">
      <c r="A94" s="88" t="str">
        <f>IF(E94&lt;&gt;"",1+MAX($A$43:A93),"")</f>
        <v/>
      </c>
      <c r="K94" s="157"/>
      <c r="L94" s="157"/>
    </row>
    <row r="95" spans="1:74">
      <c r="A95" s="88" t="str">
        <f>IF(E95&lt;&gt;"",1+MAX($A$43:A94),"")</f>
        <v/>
      </c>
      <c r="K95" s="157"/>
      <c r="L95" s="157"/>
    </row>
    <row r="96" spans="1:74">
      <c r="A96" s="88" t="str">
        <f>IF(E96&lt;&gt;"",1+MAX($A$43:A95),"")</f>
        <v/>
      </c>
      <c r="K96" s="157"/>
      <c r="L96" s="157"/>
    </row>
    <row r="97" spans="1:12">
      <c r="A97" s="88" t="str">
        <f>IF(E97&lt;&gt;"",1+MAX($A$43:A96),"")</f>
        <v/>
      </c>
      <c r="K97" s="157"/>
      <c r="L97" s="157"/>
    </row>
    <row r="98" spans="1:12">
      <c r="A98" s="88" t="str">
        <f>IF(E98&lt;&gt;"",1+MAX($A$43:A97),"")</f>
        <v/>
      </c>
      <c r="K98" s="157"/>
      <c r="L98" s="157"/>
    </row>
    <row r="99" spans="1:12">
      <c r="A99" s="88" t="str">
        <f>IF(E99&lt;&gt;"",1+MAX($A$43:A98),"")</f>
        <v/>
      </c>
      <c r="K99" s="157"/>
      <c r="L99" s="157"/>
    </row>
    <row r="100" spans="1:12">
      <c r="A100" s="88" t="str">
        <f>IF(E100&lt;&gt;"",1+MAX($A$43:A99),"")</f>
        <v/>
      </c>
      <c r="K100" s="157"/>
      <c r="L100" s="157"/>
    </row>
    <row r="101" spans="1:12">
      <c r="A101" s="88" t="str">
        <f>IF(E101&lt;&gt;"",1+MAX($A$43:A100),"")</f>
        <v/>
      </c>
      <c r="K101" s="157"/>
      <c r="L101" s="157"/>
    </row>
    <row r="102" spans="1:12">
      <c r="A102" s="88" t="str">
        <f>IF(E102&lt;&gt;"",1+MAX($A$43:A101),"")</f>
        <v/>
      </c>
      <c r="K102" s="157"/>
      <c r="L102" s="157"/>
    </row>
    <row r="103" spans="1:12">
      <c r="A103" s="88" t="str">
        <f>IF(E103&lt;&gt;"",1+MAX($A$43:A102),"")</f>
        <v/>
      </c>
      <c r="K103" s="157"/>
      <c r="L103" s="157"/>
    </row>
    <row r="104" spans="1:12">
      <c r="A104" s="88" t="str">
        <f>IF(E104&lt;&gt;"",1+MAX($A$43:A103),"")</f>
        <v/>
      </c>
      <c r="K104" s="157"/>
      <c r="L104" s="157"/>
    </row>
    <row r="105" spans="1:12">
      <c r="A105" s="88" t="str">
        <f>IF(E105&lt;&gt;"",1+MAX($A$43:A104),"")</f>
        <v/>
      </c>
      <c r="K105" s="157"/>
      <c r="L105" s="157"/>
    </row>
    <row r="106" spans="1:12">
      <c r="A106" s="88" t="str">
        <f>IF(E106&lt;&gt;"",1+MAX($A$43:A105),"")</f>
        <v/>
      </c>
      <c r="K106" s="157"/>
      <c r="L106" s="157"/>
    </row>
    <row r="107" spans="1:12">
      <c r="A107" s="88" t="str">
        <f>IF(E107&lt;&gt;"",1+MAX($A$43:A106),"")</f>
        <v/>
      </c>
      <c r="K107" s="157"/>
      <c r="L107" s="157"/>
    </row>
    <row r="108" spans="1:12">
      <c r="A108" s="88" t="str">
        <f>IF(E108&lt;&gt;"",1+MAX($A$43:A107),"")</f>
        <v/>
      </c>
      <c r="K108" s="157"/>
      <c r="L108" s="157"/>
    </row>
    <row r="109" spans="1:12">
      <c r="A109" s="88" t="str">
        <f>IF(E109&lt;&gt;"",1+MAX($A$43:A108),"")</f>
        <v/>
      </c>
      <c r="K109" s="157"/>
      <c r="L109" s="157"/>
    </row>
    <row r="110" spans="1:12">
      <c r="A110" s="88" t="str">
        <f>IF(E110&lt;&gt;"",1+MAX($A$43:A109),"")</f>
        <v/>
      </c>
      <c r="K110" s="157"/>
      <c r="L110" s="157"/>
    </row>
    <row r="111" spans="1:12">
      <c r="A111" s="88" t="str">
        <f>IF(E111&lt;&gt;"",1+MAX($A$43:A110),"")</f>
        <v/>
      </c>
      <c r="K111" s="157"/>
      <c r="L111" s="157"/>
    </row>
    <row r="112" spans="1:12">
      <c r="A112" s="88" t="str">
        <f>IF(E112&lt;&gt;"",1+MAX($A$43:A111),"")</f>
        <v/>
      </c>
      <c r="K112" s="157"/>
      <c r="L112" s="157"/>
    </row>
    <row r="113" spans="1:12">
      <c r="A113" s="88" t="str">
        <f>IF(E113&lt;&gt;"",1+MAX($A$43:A112),"")</f>
        <v/>
      </c>
      <c r="K113" s="157"/>
      <c r="L113" s="157"/>
    </row>
    <row r="114" spans="1:12">
      <c r="A114" s="88" t="str">
        <f>IF(E114&lt;&gt;"",1+MAX($A$43:A113),"")</f>
        <v/>
      </c>
      <c r="K114" s="157"/>
      <c r="L114" s="157"/>
    </row>
    <row r="115" spans="1:12">
      <c r="A115" s="88" t="str">
        <f>IF(E115&lt;&gt;"",1+MAX($A$43:A114),"")</f>
        <v/>
      </c>
      <c r="K115" s="157"/>
      <c r="L115" s="157"/>
    </row>
    <row r="116" spans="1:12">
      <c r="A116" s="88" t="str">
        <f>IF(E116&lt;&gt;"",1+MAX($A$43:A115),"")</f>
        <v/>
      </c>
      <c r="K116" s="157"/>
      <c r="L116" s="157"/>
    </row>
    <row r="117" spans="1:12">
      <c r="A117" s="88" t="str">
        <f>IF(E117&lt;&gt;"",1+MAX($A$43:A116),"")</f>
        <v/>
      </c>
      <c r="K117" s="157"/>
      <c r="L117" s="157"/>
    </row>
    <row r="118" spans="1:12">
      <c r="A118" s="88" t="str">
        <f>IF(E118&lt;&gt;"",1+MAX($A$43:A117),"")</f>
        <v/>
      </c>
      <c r="K118" s="157"/>
      <c r="L118" s="157"/>
    </row>
    <row r="119" spans="1:12">
      <c r="A119" s="88" t="str">
        <f>IF(E119&lt;&gt;"",1+MAX($A$43:A118),"")</f>
        <v/>
      </c>
      <c r="K119" s="157"/>
      <c r="L119" s="157"/>
    </row>
    <row r="120" spans="1:12">
      <c r="A120" s="88" t="str">
        <f>IF(E120&lt;&gt;"",1+MAX($A$43:A119),"")</f>
        <v/>
      </c>
      <c r="K120" s="157"/>
      <c r="L120" s="157"/>
    </row>
    <row r="121" spans="1:12">
      <c r="A121" s="88" t="str">
        <f>IF(E121&lt;&gt;"",1+MAX($A$43:A120),"")</f>
        <v/>
      </c>
      <c r="K121" s="157"/>
      <c r="L121" s="157"/>
    </row>
    <row r="122" spans="1:12">
      <c r="A122" s="88" t="str">
        <f>IF(E122&lt;&gt;"",1+MAX($A$43:A121),"")</f>
        <v/>
      </c>
      <c r="K122" s="157"/>
      <c r="L122" s="157"/>
    </row>
    <row r="123" spans="1:12">
      <c r="A123" s="88" t="str">
        <f>IF(E123&lt;&gt;"",1+MAX($A$43:A122),"")</f>
        <v/>
      </c>
      <c r="K123" s="157"/>
      <c r="L123" s="157"/>
    </row>
    <row r="124" spans="1:12">
      <c r="A124" s="88" t="str">
        <f>IF(E124&lt;&gt;"",1+MAX($A$43:A123),"")</f>
        <v/>
      </c>
      <c r="K124" s="157"/>
      <c r="L124" s="157"/>
    </row>
    <row r="125" spans="1:12">
      <c r="A125" s="88" t="str">
        <f>IF(E125&lt;&gt;"",1+MAX($A$43:A124),"")</f>
        <v/>
      </c>
      <c r="K125" s="157"/>
      <c r="L125" s="157"/>
    </row>
    <row r="126" spans="1:12">
      <c r="A126" s="88" t="str">
        <f>IF(E126&lt;&gt;"",1+MAX($A$43:A125),"")</f>
        <v/>
      </c>
      <c r="K126" s="157"/>
      <c r="L126" s="157"/>
    </row>
    <row r="127" spans="1:12">
      <c r="A127" s="88" t="str">
        <f>IF(E127&lt;&gt;"",1+MAX($A$43:A126),"")</f>
        <v/>
      </c>
      <c r="K127" s="157"/>
      <c r="L127" s="157"/>
    </row>
    <row r="128" spans="1:12">
      <c r="A128" s="88" t="str">
        <f>IF(E128&lt;&gt;"",1+MAX($A$43:A127),"")</f>
        <v/>
      </c>
      <c r="K128" s="157"/>
      <c r="L128" s="157"/>
    </row>
    <row r="129" spans="1:12">
      <c r="A129" s="88" t="str">
        <f>IF(E129&lt;&gt;"",1+MAX($A$43:A128),"")</f>
        <v/>
      </c>
      <c r="K129" s="157"/>
      <c r="L129" s="157"/>
    </row>
    <row r="130" spans="1:12">
      <c r="A130" s="88" t="str">
        <f>IF(E130&lt;&gt;"",1+MAX($A$43:A129),"")</f>
        <v/>
      </c>
      <c r="K130" s="157"/>
      <c r="L130" s="157"/>
    </row>
    <row r="131" spans="1:12">
      <c r="A131" s="88" t="str">
        <f>IF(E131&lt;&gt;"",1+MAX($A$43:A130),"")</f>
        <v/>
      </c>
      <c r="K131" s="157"/>
      <c r="L131" s="157"/>
    </row>
    <row r="132" spans="1:12">
      <c r="A132" s="88" t="str">
        <f>IF(E132&lt;&gt;"",1+MAX($A$43:A131),"")</f>
        <v/>
      </c>
      <c r="K132" s="157"/>
      <c r="L132" s="157"/>
    </row>
    <row r="133" spans="1:12">
      <c r="A133" s="88" t="str">
        <f>IF(E133&lt;&gt;"",1+MAX($A$43:A132),"")</f>
        <v/>
      </c>
      <c r="K133" s="157"/>
      <c r="L133" s="157"/>
    </row>
    <row r="134" spans="1:12">
      <c r="A134" s="88" t="str">
        <f>IF(E134&lt;&gt;"",1+MAX($A$43:A133),"")</f>
        <v/>
      </c>
      <c r="K134" s="157"/>
      <c r="L134" s="157"/>
    </row>
    <row r="135" spans="1:12">
      <c r="A135" s="88" t="str">
        <f>IF(E135&lt;&gt;"",1+MAX($A$43:A134),"")</f>
        <v/>
      </c>
      <c r="K135" s="157"/>
      <c r="L135" s="157"/>
    </row>
    <row r="136" spans="1:12">
      <c r="A136" s="88" t="str">
        <f>IF(E136&lt;&gt;"",1+MAX($A$43:A135),"")</f>
        <v/>
      </c>
      <c r="K136" s="157"/>
      <c r="L136" s="157"/>
    </row>
    <row r="137" spans="1:12">
      <c r="A137" s="88" t="str">
        <f>IF(E137&lt;&gt;"",1+MAX($A$43:A136),"")</f>
        <v/>
      </c>
      <c r="K137" s="157"/>
      <c r="L137" s="157"/>
    </row>
    <row r="138" spans="1:12">
      <c r="A138" s="88" t="str">
        <f>IF(E138&lt;&gt;"",1+MAX($A$43:A137),"")</f>
        <v/>
      </c>
      <c r="K138" s="157"/>
      <c r="L138" s="157"/>
    </row>
    <row r="139" spans="1:12">
      <c r="A139" s="88" t="str">
        <f>IF(E139&lt;&gt;"",1+MAX($A$43:A138),"")</f>
        <v/>
      </c>
      <c r="K139" s="157"/>
      <c r="L139" s="157"/>
    </row>
    <row r="140" spans="1:12">
      <c r="A140" s="88" t="str">
        <f>IF(E140&lt;&gt;"",1+MAX($A$43:A139),"")</f>
        <v/>
      </c>
      <c r="K140" s="157"/>
      <c r="L140" s="157"/>
    </row>
    <row r="141" spans="1:12">
      <c r="A141" s="88" t="str">
        <f>IF(E141&lt;&gt;"",1+MAX($A$43:A140),"")</f>
        <v/>
      </c>
      <c r="K141" s="157"/>
      <c r="L141" s="157"/>
    </row>
    <row r="142" spans="1:12">
      <c r="A142" s="88" t="str">
        <f>IF(E142&lt;&gt;"",1+MAX($A$43:A141),"")</f>
        <v/>
      </c>
      <c r="K142" s="157"/>
      <c r="L142" s="157"/>
    </row>
    <row r="143" spans="1:12">
      <c r="A143" s="88" t="str">
        <f>IF(E143&lt;&gt;"",1+MAX($A$43:A142),"")</f>
        <v/>
      </c>
      <c r="K143" s="157"/>
      <c r="L143" s="157"/>
    </row>
    <row r="144" spans="1:12">
      <c r="A144" s="88" t="str">
        <f>IF(E144&lt;&gt;"",1+MAX($A$43:A143),"")</f>
        <v/>
      </c>
      <c r="K144" s="157"/>
      <c r="L144" s="157"/>
    </row>
    <row r="145" spans="1:12">
      <c r="A145" s="88" t="str">
        <f>IF(E145&lt;&gt;"",1+MAX($A$43:A144),"")</f>
        <v/>
      </c>
      <c r="K145" s="157"/>
      <c r="L145" s="157"/>
    </row>
    <row r="146" spans="1:12">
      <c r="A146" s="88" t="str">
        <f>IF(E146&lt;&gt;"",1+MAX($A$43:A145),"")</f>
        <v/>
      </c>
      <c r="K146" s="157"/>
      <c r="L146" s="157"/>
    </row>
    <row r="147" spans="1:12">
      <c r="A147" s="88" t="str">
        <f>IF(E147&lt;&gt;"",1+MAX($A$43:A146),"")</f>
        <v/>
      </c>
      <c r="K147" s="157"/>
      <c r="L147" s="157"/>
    </row>
    <row r="148" spans="1:12">
      <c r="A148" s="88" t="str">
        <f>IF(E148&lt;&gt;"",1+MAX($A$43:A147),"")</f>
        <v/>
      </c>
      <c r="K148" s="157"/>
      <c r="L148" s="157"/>
    </row>
    <row r="149" spans="1:12">
      <c r="A149" s="88" t="str">
        <f>IF(E149&lt;&gt;"",1+MAX($A$43:A148),"")</f>
        <v/>
      </c>
      <c r="K149" s="157"/>
      <c r="L149" s="157"/>
    </row>
    <row r="150" spans="1:12">
      <c r="A150" s="88" t="str">
        <f>IF(E150&lt;&gt;"",1+MAX($A$43:A149),"")</f>
        <v/>
      </c>
      <c r="K150" s="157"/>
      <c r="L150" s="157"/>
    </row>
    <row r="151" spans="1:12">
      <c r="A151" s="88" t="str">
        <f>IF(E151&lt;&gt;"",1+MAX($A$43:A150),"")</f>
        <v/>
      </c>
      <c r="K151" s="157"/>
      <c r="L151" s="157"/>
    </row>
    <row r="152" spans="1:12">
      <c r="A152" s="88" t="str">
        <f>IF(E152&lt;&gt;"",1+MAX($A$43:A151),"")</f>
        <v/>
      </c>
      <c r="K152" s="157"/>
      <c r="L152" s="157"/>
    </row>
    <row r="153" spans="1:12">
      <c r="A153" s="88" t="str">
        <f>IF(E153&lt;&gt;"",1+MAX($A$43:A152),"")</f>
        <v/>
      </c>
      <c r="K153" s="157"/>
      <c r="L153" s="157"/>
    </row>
    <row r="154" spans="1:12">
      <c r="A154" s="88" t="str">
        <f>IF(E154&lt;&gt;"",1+MAX($A$43:A153),"")</f>
        <v/>
      </c>
      <c r="K154" s="157"/>
      <c r="L154" s="157"/>
    </row>
    <row r="155" spans="1:12">
      <c r="A155" s="88" t="str">
        <f>IF(E155&lt;&gt;"",1+MAX($A$43:A154),"")</f>
        <v/>
      </c>
      <c r="K155" s="157"/>
      <c r="L155" s="157"/>
    </row>
    <row r="156" spans="1:12">
      <c r="A156" s="88" t="str">
        <f>IF(E156&lt;&gt;"",1+MAX($A$43:A155),"")</f>
        <v/>
      </c>
      <c r="K156" s="157"/>
      <c r="L156" s="157"/>
    </row>
    <row r="157" spans="1:12">
      <c r="A157" s="88" t="str">
        <f>IF(E157&lt;&gt;"",1+MAX($A$43:A156),"")</f>
        <v/>
      </c>
      <c r="K157" s="157"/>
      <c r="L157" s="157"/>
    </row>
    <row r="158" spans="1:12">
      <c r="A158" s="88" t="str">
        <f>IF(E158&lt;&gt;"",1+MAX($A$43:A157),"")</f>
        <v/>
      </c>
      <c r="K158" s="157"/>
      <c r="L158" s="157"/>
    </row>
    <row r="159" spans="1:12">
      <c r="A159" s="88" t="str">
        <f>IF(E159&lt;&gt;"",1+MAX($A$43:A158),"")</f>
        <v/>
      </c>
      <c r="K159" s="157"/>
      <c r="L159" s="157"/>
    </row>
    <row r="160" spans="1:12">
      <c r="A160" s="88" t="str">
        <f>IF(E160&lt;&gt;"",1+MAX($A$43:A159),"")</f>
        <v/>
      </c>
      <c r="K160" s="157"/>
      <c r="L160" s="157"/>
    </row>
    <row r="161" spans="1:12">
      <c r="A161" s="88" t="str">
        <f>IF(E161&lt;&gt;"",1+MAX($A$43:A160),"")</f>
        <v/>
      </c>
      <c r="K161" s="157"/>
      <c r="L161" s="157"/>
    </row>
    <row r="162" spans="1:12">
      <c r="A162" s="88" t="str">
        <f>IF(E162&lt;&gt;"",1+MAX($A$43:A161),"")</f>
        <v/>
      </c>
      <c r="K162" s="157"/>
      <c r="L162" s="157"/>
    </row>
    <row r="163" spans="1:12">
      <c r="A163" s="88" t="str">
        <f>IF(E163&lt;&gt;"",1+MAX($A$43:A162),"")</f>
        <v/>
      </c>
      <c r="K163" s="157"/>
      <c r="L163" s="157"/>
    </row>
    <row r="164" spans="1:12">
      <c r="A164" s="88" t="str">
        <f>IF(E164&lt;&gt;"",1+MAX($A$43:A163),"")</f>
        <v/>
      </c>
      <c r="K164" s="157"/>
      <c r="L164" s="157"/>
    </row>
    <row r="165" spans="1:12">
      <c r="A165" s="88" t="str">
        <f>IF(E165&lt;&gt;"",1+MAX($A$43:A164),"")</f>
        <v/>
      </c>
      <c r="K165" s="157"/>
      <c r="L165" s="157"/>
    </row>
    <row r="166" spans="1:12">
      <c r="A166" s="88" t="str">
        <f>IF(E166&lt;&gt;"",1+MAX($A$43:A165),"")</f>
        <v/>
      </c>
      <c r="K166" s="157"/>
      <c r="L166" s="157"/>
    </row>
    <row r="167" spans="1:12">
      <c r="A167" s="88" t="str">
        <f>IF(E167&lt;&gt;"",1+MAX($A$43:A166),"")</f>
        <v/>
      </c>
      <c r="K167" s="157"/>
      <c r="L167" s="157"/>
    </row>
    <row r="168" spans="1:12">
      <c r="A168" s="88" t="str">
        <f>IF(E168&lt;&gt;"",1+MAX($A$43:A167),"")</f>
        <v/>
      </c>
      <c r="K168" s="157"/>
      <c r="L168" s="157"/>
    </row>
    <row r="169" spans="1:12">
      <c r="A169" s="88" t="str">
        <f>IF(E169&lt;&gt;"",1+MAX($A$43:A168),"")</f>
        <v/>
      </c>
      <c r="K169" s="157"/>
      <c r="L169" s="157"/>
    </row>
    <row r="170" spans="1:12">
      <c r="A170" s="88" t="str">
        <f>IF(E170&lt;&gt;"",1+MAX($A$43:A169),"")</f>
        <v/>
      </c>
      <c r="K170" s="157"/>
      <c r="L170" s="157"/>
    </row>
    <row r="171" spans="1:12">
      <c r="A171" s="88" t="str">
        <f>IF(E171&lt;&gt;"",1+MAX($A$43:A170),"")</f>
        <v/>
      </c>
      <c r="K171" s="157"/>
      <c r="L171" s="157"/>
    </row>
    <row r="172" spans="1:12">
      <c r="A172" s="88" t="str">
        <f>IF(E172&lt;&gt;"",1+MAX($A$43:A171),"")</f>
        <v/>
      </c>
      <c r="K172" s="157"/>
      <c r="L172" s="157"/>
    </row>
    <row r="173" spans="1:12">
      <c r="A173" s="88" t="str">
        <f>IF(E173&lt;&gt;"",1+MAX($A$43:A172),"")</f>
        <v/>
      </c>
      <c r="K173" s="157"/>
      <c r="L173" s="157"/>
    </row>
    <row r="174" spans="1:12">
      <c r="A174" s="88" t="str">
        <f>IF(E174&lt;&gt;"",1+MAX($A$43:A173),"")</f>
        <v/>
      </c>
      <c r="K174" s="157"/>
      <c r="L174" s="157"/>
    </row>
    <row r="175" spans="1:12">
      <c r="A175" s="88" t="str">
        <f>IF(E175&lt;&gt;"",1+MAX($A$43:A174),"")</f>
        <v/>
      </c>
      <c r="K175" s="157"/>
      <c r="L175" s="157"/>
    </row>
    <row r="176" spans="1:12">
      <c r="A176" s="88" t="str">
        <f>IF(E176&lt;&gt;"",1+MAX($A$43:A175),"")</f>
        <v/>
      </c>
      <c r="K176" s="157"/>
      <c r="L176" s="157"/>
    </row>
    <row r="177" spans="1:12">
      <c r="A177" s="88" t="str">
        <f>IF(E177&lt;&gt;"",1+MAX($A$43:A176),"")</f>
        <v/>
      </c>
      <c r="K177" s="157"/>
      <c r="L177" s="157"/>
    </row>
    <row r="178" spans="1:12">
      <c r="A178" s="88" t="str">
        <f>IF(E178&lt;&gt;"",1+MAX($A$43:A177),"")</f>
        <v/>
      </c>
      <c r="K178" s="157"/>
      <c r="L178" s="157"/>
    </row>
    <row r="179" spans="1:12">
      <c r="A179" s="88" t="str">
        <f>IF(E179&lt;&gt;"",1+MAX($A$43:A178),"")</f>
        <v/>
      </c>
      <c r="K179" s="157"/>
      <c r="L179" s="157"/>
    </row>
    <row r="180" spans="1:12">
      <c r="A180" s="88" t="str">
        <f>IF(E180&lt;&gt;"",1+MAX($A$43:A179),"")</f>
        <v/>
      </c>
      <c r="K180" s="157"/>
      <c r="L180" s="157"/>
    </row>
    <row r="181" spans="1:12">
      <c r="A181" s="88" t="str">
        <f>IF(E181&lt;&gt;"",1+MAX($A$43:A180),"")</f>
        <v/>
      </c>
      <c r="K181" s="157"/>
      <c r="L181" s="157"/>
    </row>
    <row r="182" spans="1:12">
      <c r="A182" s="88" t="str">
        <f>IF(E182&lt;&gt;"",1+MAX($A$43:A181),"")</f>
        <v/>
      </c>
      <c r="K182" s="157"/>
      <c r="L182" s="157"/>
    </row>
    <row r="183" spans="1:12">
      <c r="A183" s="88" t="str">
        <f>IF(E183&lt;&gt;"",1+MAX($A$43:A182),"")</f>
        <v/>
      </c>
      <c r="K183" s="157"/>
      <c r="L183" s="157"/>
    </row>
    <row r="184" spans="1:12">
      <c r="A184" s="88" t="str">
        <f>IF(E184&lt;&gt;"",1+MAX($A$43:A183),"")</f>
        <v/>
      </c>
      <c r="K184" s="157"/>
      <c r="L184" s="157"/>
    </row>
    <row r="185" spans="1:12">
      <c r="A185" s="88" t="str">
        <f>IF(E185&lt;&gt;"",1+MAX($A$43:A184),"")</f>
        <v/>
      </c>
      <c r="K185" s="157"/>
      <c r="L185" s="157"/>
    </row>
    <row r="186" spans="1:12">
      <c r="A186" s="88" t="str">
        <f>IF(E186&lt;&gt;"",1+MAX($A$43:A185),"")</f>
        <v/>
      </c>
      <c r="K186" s="157"/>
      <c r="L186" s="157"/>
    </row>
    <row r="187" spans="1:12">
      <c r="A187" s="88" t="str">
        <f>IF(E187&lt;&gt;"",1+MAX($A$43:A186),"")</f>
        <v/>
      </c>
      <c r="K187" s="157"/>
      <c r="L187" s="157"/>
    </row>
    <row r="188" spans="1:12">
      <c r="A188" s="88" t="str">
        <f>IF(E188&lt;&gt;"",1+MAX($A$43:A187),"")</f>
        <v/>
      </c>
      <c r="K188" s="157"/>
      <c r="L188" s="157"/>
    </row>
    <row r="189" spans="1:12">
      <c r="A189" s="88" t="str">
        <f>IF(E189&lt;&gt;"",1+MAX($A$43:A188),"")</f>
        <v/>
      </c>
      <c r="K189" s="157"/>
      <c r="L189" s="157"/>
    </row>
    <row r="190" spans="1:12">
      <c r="A190" s="88" t="str">
        <f>IF(E190&lt;&gt;"",1+MAX($A$43:A189),"")</f>
        <v/>
      </c>
      <c r="K190" s="157"/>
      <c r="L190" s="157"/>
    </row>
    <row r="191" spans="1:12">
      <c r="A191" s="88" t="str">
        <f>IF(E191&lt;&gt;"",1+MAX($A$43:A190),"")</f>
        <v/>
      </c>
      <c r="K191" s="157"/>
      <c r="L191" s="157"/>
    </row>
    <row r="192" spans="1:12">
      <c r="A192" s="88" t="str">
        <f>IF(E192&lt;&gt;"",1+MAX($A$43:A191),"")</f>
        <v/>
      </c>
      <c r="K192" s="157"/>
      <c r="L192" s="157"/>
    </row>
    <row r="193" spans="1:12">
      <c r="A193" s="88" t="str">
        <f>IF(E193&lt;&gt;"",1+MAX($A$43:A192),"")</f>
        <v/>
      </c>
      <c r="K193" s="157"/>
      <c r="L193" s="157"/>
    </row>
    <row r="194" spans="1:12">
      <c r="A194" s="88" t="str">
        <f>IF(E194&lt;&gt;"",1+MAX($A$43:A193),"")</f>
        <v/>
      </c>
      <c r="K194" s="157"/>
      <c r="L194" s="157"/>
    </row>
    <row r="195" spans="1:12">
      <c r="A195" s="88" t="str">
        <f>IF(E195&lt;&gt;"",1+MAX($A$43:A194),"")</f>
        <v/>
      </c>
      <c r="K195" s="157"/>
      <c r="L195" s="157"/>
    </row>
    <row r="196" spans="1:12">
      <c r="A196" s="88" t="str">
        <f>IF(E196&lt;&gt;"",1+MAX($A$43:A195),"")</f>
        <v/>
      </c>
      <c r="K196" s="157"/>
      <c r="L196" s="157"/>
    </row>
    <row r="197" spans="1:12">
      <c r="A197" s="88" t="str">
        <f>IF(E197&lt;&gt;"",1+MAX($A$43:A196),"")</f>
        <v/>
      </c>
      <c r="K197" s="157"/>
      <c r="L197" s="157"/>
    </row>
    <row r="198" spans="1:12">
      <c r="A198" s="88" t="str">
        <f>IF(E198&lt;&gt;"",1+MAX($A$43:A197),"")</f>
        <v/>
      </c>
      <c r="K198" s="157"/>
      <c r="L198" s="157"/>
    </row>
    <row r="199" spans="1:12">
      <c r="A199" s="88" t="str">
        <f>IF(E199&lt;&gt;"",1+MAX($A$43:A198),"")</f>
        <v/>
      </c>
      <c r="K199" s="157"/>
      <c r="L199" s="157"/>
    </row>
    <row r="200" spans="1:12">
      <c r="A200" s="88" t="str">
        <f>IF(E200&lt;&gt;"",1+MAX($A$43:A199),"")</f>
        <v/>
      </c>
      <c r="K200" s="157"/>
      <c r="L200" s="157"/>
    </row>
    <row r="201" spans="1:12">
      <c r="A201" s="88" t="str">
        <f>IF(E201&lt;&gt;"",1+MAX($A$43:A200),"")</f>
        <v/>
      </c>
      <c r="K201" s="157"/>
      <c r="L201" s="157"/>
    </row>
    <row r="202" spans="1:12">
      <c r="A202" s="88" t="str">
        <f>IF(E202&lt;&gt;"",1+MAX($A$43:A201),"")</f>
        <v/>
      </c>
      <c r="K202" s="157"/>
      <c r="L202" s="157"/>
    </row>
    <row r="203" spans="1:12">
      <c r="K203" s="157"/>
      <c r="L203" s="157"/>
    </row>
    <row r="204" spans="1:12">
      <c r="K204" s="157"/>
      <c r="L204" s="157"/>
    </row>
    <row r="205" spans="1:12">
      <c r="K205" s="157"/>
      <c r="L205" s="157"/>
    </row>
    <row r="206" spans="1:12">
      <c r="K206" s="157"/>
      <c r="L206" s="157"/>
    </row>
    <row r="207" spans="1:12">
      <c r="K207" s="157"/>
      <c r="L207" s="157"/>
    </row>
    <row r="208" spans="1:12">
      <c r="K208" s="157"/>
      <c r="L208" s="157"/>
    </row>
    <row r="209" spans="11:12">
      <c r="K209" s="157"/>
      <c r="L209" s="157"/>
    </row>
    <row r="210" spans="11:12">
      <c r="K210" s="157"/>
      <c r="L210" s="157"/>
    </row>
    <row r="211" spans="11:12">
      <c r="K211" s="157"/>
      <c r="L211" s="157"/>
    </row>
    <row r="212" spans="11:12">
      <c r="K212" s="157"/>
      <c r="L212" s="157"/>
    </row>
    <row r="213" spans="11:12">
      <c r="K213" s="157"/>
      <c r="L213" s="157"/>
    </row>
    <row r="214" spans="11:12">
      <c r="K214" s="157"/>
      <c r="L214" s="157"/>
    </row>
    <row r="215" spans="11:12">
      <c r="K215" s="157"/>
      <c r="L215" s="157"/>
    </row>
    <row r="216" spans="11:12">
      <c r="K216" s="157"/>
      <c r="L216" s="157"/>
    </row>
    <row r="217" spans="11:12">
      <c r="K217" s="157"/>
      <c r="L217" s="157"/>
    </row>
    <row r="218" spans="11:12">
      <c r="K218" s="157"/>
      <c r="L218" s="157"/>
    </row>
    <row r="219" spans="11:12">
      <c r="K219" s="157"/>
      <c r="L219" s="157"/>
    </row>
    <row r="220" spans="11:12">
      <c r="K220" s="157"/>
      <c r="L220" s="157"/>
    </row>
    <row r="221" spans="11:12">
      <c r="K221" s="157"/>
      <c r="L221" s="157"/>
    </row>
    <row r="222" spans="11:12">
      <c r="K222" s="157"/>
      <c r="L222" s="157"/>
    </row>
    <row r="223" spans="11:12">
      <c r="K223" s="157"/>
      <c r="L223" s="157"/>
    </row>
    <row r="224" spans="11:12">
      <c r="K224" s="157"/>
      <c r="L224" s="157"/>
    </row>
    <row r="225" spans="11:12">
      <c r="K225" s="157"/>
      <c r="L225" s="157"/>
    </row>
    <row r="226" spans="11:12">
      <c r="K226" s="157"/>
      <c r="L226" s="157"/>
    </row>
    <row r="227" spans="11:12">
      <c r="K227" s="157"/>
      <c r="L227" s="157"/>
    </row>
    <row r="228" spans="11:12">
      <c r="K228" s="157"/>
      <c r="L228" s="157"/>
    </row>
    <row r="229" spans="11:12">
      <c r="K229" s="157"/>
      <c r="L229" s="157"/>
    </row>
    <row r="230" spans="11:12">
      <c r="K230" s="157"/>
      <c r="L230" s="157"/>
    </row>
    <row r="231" spans="11:12">
      <c r="K231" s="157"/>
      <c r="L231" s="157"/>
    </row>
    <row r="232" spans="11:12">
      <c r="K232" s="157"/>
      <c r="L232" s="157"/>
    </row>
    <row r="233" spans="11:12">
      <c r="K233" s="157"/>
      <c r="L233" s="157"/>
    </row>
    <row r="234" spans="11:12">
      <c r="K234" s="157"/>
      <c r="L234" s="157"/>
    </row>
    <row r="235" spans="11:12">
      <c r="K235" s="157"/>
      <c r="L235" s="157"/>
    </row>
    <row r="236" spans="11:12">
      <c r="K236" s="157"/>
      <c r="L236" s="157"/>
    </row>
    <row r="237" spans="11:12">
      <c r="K237" s="157"/>
      <c r="L237" s="157"/>
    </row>
    <row r="238" spans="11:12">
      <c r="K238" s="157"/>
      <c r="L238" s="157"/>
    </row>
    <row r="239" spans="11:12">
      <c r="K239" s="157"/>
      <c r="L239" s="157"/>
    </row>
    <row r="240" spans="11:12">
      <c r="K240" s="157"/>
      <c r="L240" s="157"/>
    </row>
    <row r="241" spans="11:12">
      <c r="K241" s="157"/>
      <c r="L241" s="157"/>
    </row>
    <row r="242" spans="11:12">
      <c r="K242" s="157"/>
      <c r="L242" s="157"/>
    </row>
    <row r="243" spans="11:12">
      <c r="K243" s="157"/>
      <c r="L243" s="157"/>
    </row>
    <row r="244" spans="11:12">
      <c r="K244" s="157"/>
      <c r="L244" s="157"/>
    </row>
    <row r="245" spans="11:12">
      <c r="K245" s="157"/>
      <c r="L245" s="157"/>
    </row>
    <row r="246" spans="11:12">
      <c r="K246" s="157"/>
      <c r="L246" s="157"/>
    </row>
    <row r="247" spans="11:12">
      <c r="K247" s="157"/>
      <c r="L247" s="157"/>
    </row>
    <row r="248" spans="11:12">
      <c r="K248" s="157"/>
      <c r="L248" s="157"/>
    </row>
    <row r="249" spans="11:12">
      <c r="K249" s="157"/>
      <c r="L249" s="157"/>
    </row>
    <row r="250" spans="11:12">
      <c r="K250" s="157"/>
      <c r="L250" s="157"/>
    </row>
    <row r="251" spans="11:12">
      <c r="K251" s="157"/>
      <c r="L251" s="157"/>
    </row>
    <row r="252" spans="11:12">
      <c r="K252" s="157"/>
      <c r="L252" s="157"/>
    </row>
    <row r="253" spans="11:12">
      <c r="K253" s="157"/>
      <c r="L253" s="157"/>
    </row>
    <row r="254" spans="11:12">
      <c r="K254" s="157"/>
      <c r="L254" s="157"/>
    </row>
    <row r="255" spans="11:12">
      <c r="K255" s="157"/>
      <c r="L255" s="157"/>
    </row>
    <row r="256" spans="11:12">
      <c r="K256" s="157"/>
      <c r="L256" s="157"/>
    </row>
    <row r="257" spans="11:12">
      <c r="K257" s="157"/>
      <c r="L257" s="157"/>
    </row>
    <row r="258" spans="11:12">
      <c r="K258" s="157"/>
      <c r="L258" s="157"/>
    </row>
    <row r="259" spans="11:12">
      <c r="K259" s="157"/>
      <c r="L259" s="157"/>
    </row>
    <row r="260" spans="11:12">
      <c r="K260" s="157"/>
      <c r="L260" s="157"/>
    </row>
    <row r="261" spans="11:12">
      <c r="K261" s="157"/>
      <c r="L261" s="157"/>
    </row>
    <row r="262" spans="11:12">
      <c r="K262" s="157"/>
      <c r="L262" s="157"/>
    </row>
    <row r="263" spans="11:12">
      <c r="K263" s="157"/>
      <c r="L263" s="157"/>
    </row>
    <row r="264" spans="11:12">
      <c r="K264" s="157"/>
      <c r="L264" s="157"/>
    </row>
    <row r="265" spans="11:12">
      <c r="K265" s="157"/>
      <c r="L265" s="157"/>
    </row>
    <row r="266" spans="11:12">
      <c r="K266" s="157"/>
      <c r="L266" s="157"/>
    </row>
    <row r="267" spans="11:12">
      <c r="K267" s="157"/>
      <c r="L267" s="157"/>
    </row>
    <row r="268" spans="11:12">
      <c r="K268" s="157"/>
      <c r="L268" s="157"/>
    </row>
    <row r="269" spans="11:12">
      <c r="K269" s="157"/>
      <c r="L269" s="157"/>
    </row>
    <row r="270" spans="11:12">
      <c r="K270" s="157"/>
      <c r="L270" s="157"/>
    </row>
    <row r="271" spans="11:12">
      <c r="K271" s="157"/>
      <c r="L271" s="157"/>
    </row>
    <row r="272" spans="11:12">
      <c r="K272" s="157"/>
      <c r="L272" s="157"/>
    </row>
    <row r="273" spans="11:12">
      <c r="K273" s="157"/>
      <c r="L273" s="157"/>
    </row>
    <row r="274" spans="11:12">
      <c r="K274" s="157"/>
      <c r="L274" s="157"/>
    </row>
    <row r="275" spans="11:12">
      <c r="K275" s="157"/>
      <c r="L275" s="157"/>
    </row>
    <row r="276" spans="11:12">
      <c r="K276" s="157"/>
      <c r="L276" s="157"/>
    </row>
    <row r="277" spans="11:12">
      <c r="K277" s="157"/>
      <c r="L277" s="157"/>
    </row>
    <row r="278" spans="11:12">
      <c r="K278" s="157"/>
      <c r="L278" s="157"/>
    </row>
    <row r="279" spans="11:12">
      <c r="K279" s="157"/>
      <c r="L279" s="157"/>
    </row>
    <row r="280" spans="11:12">
      <c r="K280" s="157"/>
      <c r="L280" s="157"/>
    </row>
    <row r="281" spans="11:12">
      <c r="K281" s="157"/>
      <c r="L281" s="157"/>
    </row>
    <row r="282" spans="11:12">
      <c r="K282" s="157"/>
      <c r="L282" s="157"/>
    </row>
    <row r="283" spans="11:12">
      <c r="K283" s="157"/>
      <c r="L283" s="157"/>
    </row>
    <row r="284" spans="11:12">
      <c r="K284" s="157"/>
      <c r="L284" s="157"/>
    </row>
    <row r="285" spans="11:12">
      <c r="K285" s="157"/>
      <c r="L285" s="157"/>
    </row>
    <row r="286" spans="11:12">
      <c r="K286" s="157"/>
      <c r="L286" s="157"/>
    </row>
    <row r="287" spans="11:12">
      <c r="K287" s="157"/>
      <c r="L287" s="157"/>
    </row>
    <row r="288" spans="11:12">
      <c r="K288" s="157"/>
      <c r="L288" s="157"/>
    </row>
    <row r="289" spans="11:12">
      <c r="K289" s="157"/>
      <c r="L289" s="157"/>
    </row>
    <row r="290" spans="11:12">
      <c r="K290" s="157"/>
      <c r="L290" s="157"/>
    </row>
    <row r="291" spans="11:12">
      <c r="K291" s="157"/>
      <c r="L291" s="157"/>
    </row>
    <row r="292" spans="11:12">
      <c r="K292" s="157"/>
      <c r="L292" s="157"/>
    </row>
    <row r="293" spans="11:12">
      <c r="K293" s="157"/>
      <c r="L293" s="157"/>
    </row>
    <row r="294" spans="11:12">
      <c r="K294" s="157"/>
      <c r="L294" s="157"/>
    </row>
    <row r="295" spans="11:12">
      <c r="K295" s="157"/>
      <c r="L295" s="157"/>
    </row>
    <row r="296" spans="11:12">
      <c r="K296" s="157"/>
      <c r="L296" s="157"/>
    </row>
    <row r="297" spans="11:12">
      <c r="K297" s="157"/>
      <c r="L297" s="157"/>
    </row>
    <row r="298" spans="11:12">
      <c r="K298" s="157"/>
      <c r="L298" s="157"/>
    </row>
    <row r="299" spans="11:12">
      <c r="K299" s="157"/>
      <c r="L299" s="157"/>
    </row>
    <row r="300" spans="11:12">
      <c r="K300" s="157"/>
      <c r="L300" s="157"/>
    </row>
    <row r="301" spans="11:12">
      <c r="K301" s="157"/>
      <c r="L301" s="157"/>
    </row>
    <row r="302" spans="11:12">
      <c r="K302" s="157"/>
      <c r="L302" s="157"/>
    </row>
    <row r="303" spans="11:12">
      <c r="K303" s="157"/>
      <c r="L303" s="157"/>
    </row>
    <row r="304" spans="11:12">
      <c r="K304" s="157"/>
      <c r="L304" s="157"/>
    </row>
    <row r="305" spans="11:12">
      <c r="K305" s="157"/>
      <c r="L305" s="157"/>
    </row>
    <row r="306" spans="11:12">
      <c r="K306" s="157"/>
      <c r="L306" s="157"/>
    </row>
    <row r="307" spans="11:12">
      <c r="K307" s="157"/>
      <c r="L307" s="157"/>
    </row>
    <row r="308" spans="11:12">
      <c r="K308" s="157"/>
      <c r="L308" s="157"/>
    </row>
    <row r="309" spans="11:12">
      <c r="K309" s="157"/>
      <c r="L309" s="157"/>
    </row>
    <row r="310" spans="11:12">
      <c r="K310" s="157"/>
      <c r="L310" s="157"/>
    </row>
    <row r="311" spans="11:12">
      <c r="K311" s="157"/>
      <c r="L311" s="157"/>
    </row>
    <row r="312" spans="11:12">
      <c r="K312" s="157"/>
      <c r="L312" s="157"/>
    </row>
    <row r="313" spans="11:12">
      <c r="K313" s="157"/>
      <c r="L313" s="157"/>
    </row>
    <row r="314" spans="11:12">
      <c r="K314" s="157"/>
      <c r="L314" s="157"/>
    </row>
    <row r="315" spans="11:12">
      <c r="K315" s="157"/>
      <c r="L315" s="157"/>
    </row>
    <row r="316" spans="11:12">
      <c r="K316" s="157"/>
      <c r="L316" s="157"/>
    </row>
    <row r="317" spans="11:12">
      <c r="K317" s="157"/>
      <c r="L317" s="157"/>
    </row>
    <row r="318" spans="11:12">
      <c r="K318" s="157"/>
      <c r="L318" s="157"/>
    </row>
    <row r="319" spans="11:12">
      <c r="K319" s="157"/>
      <c r="L319" s="157"/>
    </row>
    <row r="320" spans="11:12">
      <c r="K320" s="157"/>
      <c r="L320" s="157"/>
    </row>
    <row r="321" spans="11:12">
      <c r="K321" s="157"/>
      <c r="L321" s="157"/>
    </row>
    <row r="322" spans="11:12">
      <c r="K322" s="157"/>
      <c r="L322" s="157"/>
    </row>
    <row r="323" spans="11:12">
      <c r="K323" s="157"/>
      <c r="L323" s="157"/>
    </row>
    <row r="324" spans="11:12">
      <c r="K324" s="157"/>
      <c r="L324" s="157"/>
    </row>
    <row r="325" spans="11:12">
      <c r="K325" s="157"/>
      <c r="L325" s="157"/>
    </row>
    <row r="326" spans="11:12">
      <c r="K326" s="157"/>
      <c r="L326" s="157"/>
    </row>
    <row r="327" spans="11:12">
      <c r="K327" s="157"/>
      <c r="L327" s="157"/>
    </row>
    <row r="328" spans="11:12">
      <c r="K328" s="157"/>
      <c r="L328" s="157"/>
    </row>
    <row r="329" spans="11:12">
      <c r="K329" s="157"/>
      <c r="L329" s="157"/>
    </row>
    <row r="330" spans="11:12">
      <c r="K330" s="157"/>
      <c r="L330" s="157"/>
    </row>
    <row r="331" spans="11:12">
      <c r="K331" s="157"/>
      <c r="L331" s="157"/>
    </row>
    <row r="332" spans="11:12">
      <c r="K332" s="157"/>
      <c r="L332" s="157"/>
    </row>
    <row r="333" spans="11:12">
      <c r="K333" s="157"/>
      <c r="L333" s="157"/>
    </row>
    <row r="334" spans="11:12">
      <c r="K334" s="157"/>
      <c r="L334" s="157"/>
    </row>
    <row r="335" spans="11:12">
      <c r="K335" s="157"/>
      <c r="L335" s="157"/>
    </row>
    <row r="336" spans="11:12">
      <c r="K336" s="157"/>
      <c r="L336" s="157"/>
    </row>
    <row r="337" spans="11:12">
      <c r="K337" s="157"/>
      <c r="L337" s="157"/>
    </row>
    <row r="338" spans="11:12">
      <c r="K338" s="157"/>
      <c r="L338" s="157"/>
    </row>
    <row r="339" spans="11:12">
      <c r="K339" s="157"/>
      <c r="L339" s="157"/>
    </row>
    <row r="340" spans="11:12">
      <c r="K340" s="157"/>
      <c r="L340" s="157"/>
    </row>
    <row r="341" spans="11:12">
      <c r="K341" s="157"/>
      <c r="L341" s="157"/>
    </row>
    <row r="342" spans="11:12">
      <c r="K342" s="157"/>
      <c r="L342" s="157"/>
    </row>
    <row r="343" spans="11:12">
      <c r="K343" s="157"/>
      <c r="L343" s="157"/>
    </row>
    <row r="344" spans="11:12">
      <c r="K344" s="157"/>
      <c r="L344" s="157"/>
    </row>
    <row r="345" spans="11:12">
      <c r="K345" s="157"/>
      <c r="L345" s="157"/>
    </row>
    <row r="346" spans="11:12">
      <c r="K346" s="157"/>
      <c r="L346" s="157"/>
    </row>
    <row r="347" spans="11:12">
      <c r="K347" s="157"/>
      <c r="L347" s="157"/>
    </row>
    <row r="348" spans="11:12">
      <c r="K348" s="157"/>
      <c r="L348" s="157"/>
    </row>
    <row r="349" spans="11:12">
      <c r="K349" s="157"/>
      <c r="L349" s="157"/>
    </row>
    <row r="350" spans="11:12">
      <c r="K350" s="157"/>
      <c r="L350" s="157"/>
    </row>
    <row r="351" spans="11:12">
      <c r="K351" s="157"/>
      <c r="L351" s="157"/>
    </row>
    <row r="352" spans="11:12">
      <c r="K352" s="157"/>
      <c r="L352" s="157"/>
    </row>
    <row r="353" spans="11:12">
      <c r="K353" s="157"/>
      <c r="L353" s="157"/>
    </row>
    <row r="354" spans="11:12">
      <c r="K354" s="157"/>
      <c r="L354" s="157"/>
    </row>
    <row r="355" spans="11:12">
      <c r="K355" s="157"/>
      <c r="L355" s="157"/>
    </row>
    <row r="356" spans="11:12">
      <c r="K356" s="157"/>
      <c r="L356" s="157"/>
    </row>
    <row r="357" spans="11:12">
      <c r="K357" s="157"/>
      <c r="L357" s="157"/>
    </row>
    <row r="358" spans="11:12">
      <c r="K358" s="157"/>
      <c r="L358" s="157"/>
    </row>
    <row r="359" spans="11:12">
      <c r="K359" s="157"/>
      <c r="L359" s="157"/>
    </row>
    <row r="360" spans="11:12">
      <c r="K360" s="157"/>
      <c r="L360" s="157"/>
    </row>
    <row r="361" spans="11:12">
      <c r="K361" s="157"/>
      <c r="L361" s="157"/>
    </row>
    <row r="362" spans="11:12">
      <c r="K362" s="157"/>
      <c r="L362" s="157"/>
    </row>
    <row r="363" spans="11:12">
      <c r="K363" s="157"/>
      <c r="L363" s="157"/>
    </row>
    <row r="364" spans="11:12">
      <c r="K364" s="157"/>
      <c r="L364" s="157"/>
    </row>
    <row r="365" spans="11:12">
      <c r="K365" s="157"/>
      <c r="L365" s="157"/>
    </row>
    <row r="366" spans="11:12">
      <c r="K366" s="157"/>
      <c r="L366" s="157"/>
    </row>
    <row r="367" spans="11:12">
      <c r="K367" s="157"/>
      <c r="L367" s="157"/>
    </row>
    <row r="368" spans="11:12">
      <c r="K368" s="157"/>
      <c r="L368" s="157"/>
    </row>
    <row r="369" spans="11:12">
      <c r="K369" s="157"/>
      <c r="L369" s="157"/>
    </row>
    <row r="370" spans="11:12">
      <c r="K370" s="157"/>
      <c r="L370" s="157"/>
    </row>
    <row r="371" spans="11:12">
      <c r="K371" s="157"/>
      <c r="L371" s="157"/>
    </row>
    <row r="372" spans="11:12">
      <c r="K372" s="157"/>
      <c r="L372" s="157"/>
    </row>
    <row r="373" spans="11:12">
      <c r="K373" s="157"/>
      <c r="L373" s="157"/>
    </row>
    <row r="374" spans="11:12">
      <c r="K374" s="157"/>
      <c r="L374" s="157"/>
    </row>
    <row r="375" spans="11:12">
      <c r="K375" s="157"/>
      <c r="L375" s="157"/>
    </row>
    <row r="376" spans="11:12">
      <c r="K376" s="157"/>
      <c r="L376" s="157"/>
    </row>
    <row r="377" spans="11:12">
      <c r="K377" s="157"/>
      <c r="L377" s="157"/>
    </row>
    <row r="378" spans="11:12">
      <c r="K378" s="157"/>
      <c r="L378" s="157"/>
    </row>
    <row r="379" spans="11:12">
      <c r="K379" s="157"/>
      <c r="L379" s="157"/>
    </row>
    <row r="380" spans="11:12">
      <c r="K380" s="157"/>
      <c r="L380" s="157"/>
    </row>
    <row r="381" spans="11:12">
      <c r="K381" s="157"/>
      <c r="L381" s="157"/>
    </row>
    <row r="382" spans="11:12">
      <c r="K382" s="157"/>
      <c r="L382" s="157"/>
    </row>
    <row r="383" spans="11:12">
      <c r="K383" s="157"/>
      <c r="L383" s="157"/>
    </row>
    <row r="384" spans="11:12">
      <c r="K384" s="157"/>
      <c r="L384" s="157"/>
    </row>
    <row r="385" spans="11:12">
      <c r="K385" s="157"/>
      <c r="L385" s="157"/>
    </row>
    <row r="386" spans="11:12">
      <c r="K386" s="157"/>
      <c r="L386" s="157"/>
    </row>
    <row r="387" spans="11:12">
      <c r="K387" s="157"/>
      <c r="L387" s="157"/>
    </row>
    <row r="388" spans="11:12">
      <c r="K388" s="157"/>
      <c r="L388" s="157"/>
    </row>
    <row r="389" spans="11:12">
      <c r="K389" s="157"/>
      <c r="L389" s="157"/>
    </row>
  </sheetData>
  <mergeCells count="10">
    <mergeCell ref="A9:L9"/>
    <mergeCell ref="A1:M1"/>
    <mergeCell ref="A2:B3"/>
    <mergeCell ref="C2:C3"/>
    <mergeCell ref="E2:H2"/>
    <mergeCell ref="A4:B5"/>
    <mergeCell ref="C4:C5"/>
    <mergeCell ref="E4:H4"/>
    <mergeCell ref="J4:K5"/>
    <mergeCell ref="L4:L5"/>
  </mergeCells>
  <pageMargins left="0.7" right="0.7" top="0.75" bottom="0.75" header="0.3" footer="0.3"/>
  <pageSetup scale="3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59999389629810485"/>
    <pageSetUpPr fitToPage="1"/>
  </sheetPr>
  <dimension ref="A1:OR1357"/>
  <sheetViews>
    <sheetView showGridLines="0" tabSelected="1" zoomScale="70" zoomScaleNormal="70" zoomScaleSheetLayoutView="160" zoomScalePageLayoutView="10" workbookViewId="0">
      <pane ySplit="5" topLeftCell="A263" activePane="bottomLeft" state="frozen"/>
      <selection pane="bottomLeft" activeCell="D274" sqref="D274"/>
    </sheetView>
  </sheetViews>
  <sheetFormatPr defaultColWidth="9" defaultRowHeight="15"/>
  <cols>
    <col min="1" max="1" width="9.140625" customWidth="1"/>
    <col min="2" max="2" width="14.85546875" style="3" customWidth="1"/>
    <col min="3" max="3" width="74.85546875" style="4" customWidth="1"/>
    <col min="4" max="4" width="11.85546875" style="5" customWidth="1"/>
    <col min="5" max="5" width="11.5703125" customWidth="1"/>
    <col min="6" max="6" width="14.140625" style="6" customWidth="1"/>
    <col min="7" max="7" width="10.140625" customWidth="1"/>
    <col min="8" max="8" width="12.5703125" style="7" customWidth="1"/>
    <col min="9" max="11" width="14.85546875" style="8" customWidth="1"/>
    <col min="12" max="12" width="12.42578125" customWidth="1"/>
    <col min="13" max="13" width="14" customWidth="1"/>
    <col min="14" max="14" width="14.85546875" customWidth="1"/>
    <col min="15" max="15" width="17.85546875" customWidth="1"/>
    <col min="16" max="16" width="22" customWidth="1"/>
  </cols>
  <sheetData>
    <row r="1" spans="1:84" s="42" customFormat="1" ht="18.75">
      <c r="A1" s="333" t="s">
        <v>0</v>
      </c>
      <c r="B1" s="334"/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</row>
    <row r="2" spans="1:84" s="43" customFormat="1" ht="30.95" customHeight="1">
      <c r="A2" s="337" t="s">
        <v>34</v>
      </c>
      <c r="B2" s="337"/>
      <c r="C2" s="55" t="s">
        <v>1032</v>
      </c>
      <c r="D2" s="338"/>
      <c r="E2" s="338"/>
      <c r="F2" s="339"/>
      <c r="G2" s="340"/>
      <c r="H2" s="340"/>
      <c r="I2" s="340"/>
      <c r="J2" s="71"/>
      <c r="K2" s="71"/>
      <c r="L2" s="1"/>
      <c r="M2" s="1"/>
      <c r="N2" s="1"/>
      <c r="O2" s="10"/>
      <c r="P2" s="18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</row>
    <row r="3" spans="1:84" s="43" customFormat="1" ht="30" customHeight="1">
      <c r="A3" s="337" t="s">
        <v>35</v>
      </c>
      <c r="B3" s="337"/>
      <c r="C3" s="55" t="s">
        <v>1032</v>
      </c>
      <c r="D3" s="338"/>
      <c r="E3" s="338"/>
      <c r="F3" s="340"/>
      <c r="G3" s="340"/>
      <c r="H3" s="340"/>
      <c r="I3" s="340"/>
      <c r="J3" s="71"/>
      <c r="K3" s="71"/>
      <c r="L3" s="1"/>
      <c r="M3" s="1"/>
      <c r="N3" s="1"/>
      <c r="O3" s="10"/>
      <c r="P3" s="18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</row>
    <row r="4" spans="1:84" s="43" customFormat="1">
      <c r="A4" s="9"/>
      <c r="B4" s="1"/>
      <c r="C4" s="10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0"/>
      <c r="P4" s="18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</row>
    <row r="5" spans="1:84" s="42" customFormat="1" ht="30.75" customHeight="1">
      <c r="A5" s="47" t="s">
        <v>1</v>
      </c>
      <c r="B5" s="48" t="s">
        <v>2</v>
      </c>
      <c r="C5" s="48" t="s">
        <v>3</v>
      </c>
      <c r="D5" s="47" t="s">
        <v>4</v>
      </c>
      <c r="E5" s="48" t="s">
        <v>20</v>
      </c>
      <c r="F5" s="49" t="s">
        <v>5</v>
      </c>
      <c r="G5" s="48" t="s">
        <v>6</v>
      </c>
      <c r="H5" s="50" t="s">
        <v>7</v>
      </c>
      <c r="I5" s="51" t="s">
        <v>21</v>
      </c>
      <c r="J5" s="51" t="s">
        <v>36</v>
      </c>
      <c r="K5" s="51" t="s">
        <v>37</v>
      </c>
      <c r="L5" s="52" t="s">
        <v>8</v>
      </c>
      <c r="M5" s="52" t="s">
        <v>9</v>
      </c>
      <c r="N5" s="53" t="s">
        <v>10</v>
      </c>
      <c r="O5" s="48" t="s">
        <v>11</v>
      </c>
      <c r="P5" s="54" t="s">
        <v>12</v>
      </c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</row>
    <row r="6" spans="1:84" s="42" customFormat="1" ht="15.75">
      <c r="A6" s="1"/>
      <c r="B6" s="1"/>
      <c r="C6" s="10"/>
      <c r="D6" s="11"/>
      <c r="E6" s="12"/>
      <c r="F6" s="13"/>
      <c r="G6" s="12"/>
      <c r="H6" s="14"/>
      <c r="I6" s="16"/>
      <c r="J6" s="16"/>
      <c r="K6" s="16"/>
      <c r="L6" s="12"/>
      <c r="M6" s="12"/>
      <c r="N6" s="12"/>
      <c r="O6" s="10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41"/>
      <c r="BR6" s="41"/>
      <c r="BS6" s="41"/>
      <c r="BT6" s="41"/>
      <c r="BU6" s="41"/>
      <c r="BV6" s="41"/>
      <c r="BW6" s="41"/>
      <c r="BX6" s="41"/>
      <c r="BY6" s="41"/>
      <c r="BZ6" s="41"/>
      <c r="CA6" s="41"/>
      <c r="CB6" s="41"/>
      <c r="CC6" s="41"/>
      <c r="CD6" s="41"/>
      <c r="CE6" s="41"/>
      <c r="CF6" s="41"/>
    </row>
    <row r="7" spans="1:84" s="42" customFormat="1" ht="18.75">
      <c r="A7" s="333" t="s">
        <v>27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56">
        <f>SUM(N8:N22)</f>
        <v>0</v>
      </c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</row>
    <row r="8" spans="1:84" s="42" customFormat="1" ht="15.75">
      <c r="A8" s="64" t="str">
        <f>IF(F8&lt;&gt;"",1+MAX($A$2:A7),"")</f>
        <v/>
      </c>
      <c r="B8" s="75"/>
      <c r="C8" s="10"/>
      <c r="D8" s="67"/>
      <c r="E8" s="68"/>
      <c r="F8" s="67"/>
      <c r="G8" s="69"/>
      <c r="H8" s="44"/>
      <c r="I8" s="46"/>
      <c r="J8" s="46"/>
      <c r="K8" s="46"/>
      <c r="L8" s="65"/>
      <c r="M8" s="60"/>
      <c r="N8" s="61"/>
      <c r="O8" s="17"/>
      <c r="P8" s="18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</row>
    <row r="9" spans="1:84" s="42" customFormat="1" ht="15.75">
      <c r="A9" s="64" t="str">
        <f>IF(F9&lt;&gt;"",1+MAX($A$2:A8),"")</f>
        <v/>
      </c>
      <c r="B9" s="75"/>
      <c r="C9" s="62" t="s">
        <v>38</v>
      </c>
      <c r="D9" s="57"/>
      <c r="E9" s="45"/>
      <c r="F9" s="57"/>
      <c r="G9" s="58"/>
      <c r="H9" s="44"/>
      <c r="I9" s="46"/>
      <c r="J9" s="72"/>
      <c r="K9" s="46"/>
      <c r="L9" s="65"/>
      <c r="M9" s="60"/>
      <c r="N9" s="61"/>
      <c r="O9" s="17"/>
      <c r="P9" s="18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</row>
    <row r="10" spans="1:84" s="41" customFormat="1" ht="15.75">
      <c r="A10" s="64">
        <f>IF(F10&lt;&gt;"",1+MAX($A$2:A9),"")</f>
        <v>1</v>
      </c>
      <c r="B10" s="75"/>
      <c r="C10" s="63" t="s">
        <v>39</v>
      </c>
      <c r="D10" s="57">
        <v>0</v>
      </c>
      <c r="E10" s="45">
        <v>0</v>
      </c>
      <c r="F10" s="57">
        <f t="shared" ref="F10:F22" si="0">(1+E10)*D10</f>
        <v>0</v>
      </c>
      <c r="G10" s="58" t="s">
        <v>40</v>
      </c>
      <c r="H10" s="44">
        <v>0</v>
      </c>
      <c r="I10" s="46">
        <f t="shared" ref="I10:I22" si="1">H10*F10</f>
        <v>0</v>
      </c>
      <c r="J10" s="72">
        <v>0</v>
      </c>
      <c r="K10" s="73">
        <f>J10*F10</f>
        <v>0</v>
      </c>
      <c r="L10" s="65">
        <v>0</v>
      </c>
      <c r="M10" s="74">
        <f t="shared" ref="M10:M11" si="2">L10*K10</f>
        <v>0</v>
      </c>
      <c r="N10" s="61">
        <f t="shared" ref="N10:N11" si="3">M10+I10</f>
        <v>0</v>
      </c>
      <c r="O10" s="17"/>
      <c r="P10" s="18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</row>
    <row r="11" spans="1:84" s="41" customFormat="1" ht="15.75">
      <c r="A11" s="64">
        <f>IF(F11&lt;&gt;"",1+MAX($A$2:A10),"")</f>
        <v>2</v>
      </c>
      <c r="B11" s="75"/>
      <c r="C11" s="63" t="s">
        <v>41</v>
      </c>
      <c r="D11" s="57">
        <v>0</v>
      </c>
      <c r="E11" s="45">
        <v>0</v>
      </c>
      <c r="F11" s="57">
        <f t="shared" si="0"/>
        <v>0</v>
      </c>
      <c r="G11" s="58" t="s">
        <v>40</v>
      </c>
      <c r="H11" s="44">
        <v>0</v>
      </c>
      <c r="I11" s="46">
        <f t="shared" si="1"/>
        <v>0</v>
      </c>
      <c r="J11" s="72">
        <v>0</v>
      </c>
      <c r="K11" s="73">
        <f>J11*F11</f>
        <v>0</v>
      </c>
      <c r="L11" s="65">
        <v>0</v>
      </c>
      <c r="M11" s="74">
        <f t="shared" si="2"/>
        <v>0</v>
      </c>
      <c r="N11" s="61">
        <f t="shared" si="3"/>
        <v>0</v>
      </c>
      <c r="O11" s="17"/>
      <c r="P11" s="18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</row>
    <row r="12" spans="1:84" s="41" customFormat="1" ht="15.75">
      <c r="A12" s="64" t="str">
        <f>IF(F12&lt;&gt;"",1+MAX($A$2:A11),"")</f>
        <v/>
      </c>
      <c r="B12" s="75"/>
      <c r="C12" s="62" t="s">
        <v>42</v>
      </c>
      <c r="D12" s="57"/>
      <c r="E12" s="45"/>
      <c r="F12" s="57"/>
      <c r="G12" s="58"/>
      <c r="H12" s="44"/>
      <c r="I12" s="46"/>
      <c r="J12" s="72"/>
      <c r="K12" s="46"/>
      <c r="L12" s="65"/>
      <c r="M12" s="60"/>
      <c r="N12" s="61"/>
      <c r="O12" s="17"/>
      <c r="P12" s="18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</row>
    <row r="13" spans="1:84" s="41" customFormat="1" ht="15.75">
      <c r="A13" s="64">
        <f>IF(F13&lt;&gt;"",1+MAX($A$2:A12),"")</f>
        <v>3</v>
      </c>
      <c r="B13" s="75"/>
      <c r="C13" s="63" t="s">
        <v>43</v>
      </c>
      <c r="D13" s="57">
        <v>1.1499999999999999</v>
      </c>
      <c r="E13" s="45">
        <v>0</v>
      </c>
      <c r="F13" s="57">
        <f t="shared" si="0"/>
        <v>1.1499999999999999</v>
      </c>
      <c r="G13" s="58" t="s">
        <v>44</v>
      </c>
      <c r="H13" s="44"/>
      <c r="I13" s="46">
        <f t="shared" si="1"/>
        <v>0</v>
      </c>
      <c r="J13" s="72">
        <v>0</v>
      </c>
      <c r="K13" s="73">
        <f t="shared" ref="K13:K22" si="4">J13*F13</f>
        <v>0</v>
      </c>
      <c r="L13" s="65">
        <v>0</v>
      </c>
      <c r="M13" s="74">
        <f t="shared" ref="M13:M22" si="5">L13*K13</f>
        <v>0</v>
      </c>
      <c r="N13" s="61">
        <f t="shared" ref="N13:N22" si="6">M13+I13</f>
        <v>0</v>
      </c>
      <c r="O13" s="17"/>
      <c r="P13" s="18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</row>
    <row r="14" spans="1:84" s="41" customFormat="1" ht="15.75">
      <c r="A14" s="64">
        <f>IF(F14&lt;&gt;"",1+MAX($A$2:A13),"")</f>
        <v>4</v>
      </c>
      <c r="B14" s="75"/>
      <c r="C14" s="63" t="s">
        <v>45</v>
      </c>
      <c r="D14" s="57">
        <v>0</v>
      </c>
      <c r="E14" s="45">
        <v>0</v>
      </c>
      <c r="F14" s="57">
        <f t="shared" si="0"/>
        <v>0</v>
      </c>
      <c r="G14" s="58" t="s">
        <v>40</v>
      </c>
      <c r="H14" s="44">
        <v>0</v>
      </c>
      <c r="I14" s="46">
        <f t="shared" si="1"/>
        <v>0</v>
      </c>
      <c r="J14" s="72">
        <v>0</v>
      </c>
      <c r="K14" s="73">
        <f t="shared" si="4"/>
        <v>0</v>
      </c>
      <c r="L14" s="65">
        <v>0</v>
      </c>
      <c r="M14" s="74">
        <f t="shared" si="5"/>
        <v>0</v>
      </c>
      <c r="N14" s="61">
        <f t="shared" si="6"/>
        <v>0</v>
      </c>
      <c r="O14" s="17"/>
      <c r="P14" s="18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</row>
    <row r="15" spans="1:84" s="41" customFormat="1" ht="15.75">
      <c r="A15" s="64">
        <f>IF(F15&lt;&gt;"",1+MAX($A$2:A14),"")</f>
        <v>5</v>
      </c>
      <c r="B15" s="75"/>
      <c r="C15" s="63" t="s">
        <v>46</v>
      </c>
      <c r="D15" s="57">
        <v>0</v>
      </c>
      <c r="E15" s="45">
        <v>0</v>
      </c>
      <c r="F15" s="57">
        <f t="shared" si="0"/>
        <v>0</v>
      </c>
      <c r="G15" s="58" t="s">
        <v>40</v>
      </c>
      <c r="H15" s="44">
        <v>0</v>
      </c>
      <c r="I15" s="46">
        <f t="shared" si="1"/>
        <v>0</v>
      </c>
      <c r="J15" s="72">
        <v>0</v>
      </c>
      <c r="K15" s="73">
        <f t="shared" si="4"/>
        <v>0</v>
      </c>
      <c r="L15" s="65">
        <v>0</v>
      </c>
      <c r="M15" s="74">
        <f t="shared" si="5"/>
        <v>0</v>
      </c>
      <c r="N15" s="61">
        <f t="shared" si="6"/>
        <v>0</v>
      </c>
      <c r="O15" s="17"/>
      <c r="P15" s="18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</row>
    <row r="16" spans="1:84" s="41" customFormat="1" ht="15.75">
      <c r="A16" s="64">
        <f>IF(F16&lt;&gt;"",1+MAX($A$2:A15),"")</f>
        <v>6</v>
      </c>
      <c r="B16" s="75"/>
      <c r="C16" s="63" t="s">
        <v>47</v>
      </c>
      <c r="D16" s="57">
        <v>0</v>
      </c>
      <c r="E16" s="45">
        <v>0</v>
      </c>
      <c r="F16" s="57">
        <f t="shared" si="0"/>
        <v>0</v>
      </c>
      <c r="G16" s="58" t="s">
        <v>40</v>
      </c>
      <c r="H16" s="44">
        <v>0</v>
      </c>
      <c r="I16" s="46">
        <f t="shared" si="1"/>
        <v>0</v>
      </c>
      <c r="J16" s="72">
        <v>0</v>
      </c>
      <c r="K16" s="73">
        <f t="shared" si="4"/>
        <v>0</v>
      </c>
      <c r="L16" s="65">
        <v>0</v>
      </c>
      <c r="M16" s="74">
        <f t="shared" si="5"/>
        <v>0</v>
      </c>
      <c r="N16" s="61">
        <f t="shared" si="6"/>
        <v>0</v>
      </c>
      <c r="O16" s="17"/>
      <c r="P16" s="18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</row>
    <row r="17" spans="1:75" s="41" customFormat="1" ht="15.75">
      <c r="A17" s="64">
        <f>IF(F17&lt;&gt;"",1+MAX($A$2:A16),"")</f>
        <v>7</v>
      </c>
      <c r="B17" s="75"/>
      <c r="C17" s="63" t="s">
        <v>48</v>
      </c>
      <c r="D17" s="57">
        <v>0</v>
      </c>
      <c r="E17" s="45">
        <v>0</v>
      </c>
      <c r="F17" s="57">
        <f t="shared" si="0"/>
        <v>0</v>
      </c>
      <c r="G17" s="58" t="s">
        <v>40</v>
      </c>
      <c r="H17" s="44">
        <v>0</v>
      </c>
      <c r="I17" s="46">
        <f t="shared" si="1"/>
        <v>0</v>
      </c>
      <c r="J17" s="72">
        <v>0</v>
      </c>
      <c r="K17" s="73">
        <f t="shared" si="4"/>
        <v>0</v>
      </c>
      <c r="L17" s="65">
        <v>0</v>
      </c>
      <c r="M17" s="74">
        <f t="shared" si="5"/>
        <v>0</v>
      </c>
      <c r="N17" s="61">
        <f t="shared" si="6"/>
        <v>0</v>
      </c>
      <c r="O17" s="17"/>
      <c r="P17" s="18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</row>
    <row r="18" spans="1:75" s="41" customFormat="1" ht="15.75">
      <c r="A18" s="64">
        <f>IF(F18&lt;&gt;"",1+MAX($A$2:A17),"")</f>
        <v>8</v>
      </c>
      <c r="B18" s="75"/>
      <c r="C18" s="63" t="s">
        <v>49</v>
      </c>
      <c r="D18" s="57">
        <v>0</v>
      </c>
      <c r="E18" s="45">
        <v>0</v>
      </c>
      <c r="F18" s="57">
        <f t="shared" si="0"/>
        <v>0</v>
      </c>
      <c r="G18" s="58" t="s">
        <v>40</v>
      </c>
      <c r="H18" s="44">
        <v>0</v>
      </c>
      <c r="I18" s="46">
        <f t="shared" si="1"/>
        <v>0</v>
      </c>
      <c r="J18" s="72">
        <v>0</v>
      </c>
      <c r="K18" s="73">
        <f t="shared" si="4"/>
        <v>0</v>
      </c>
      <c r="L18" s="65">
        <v>0</v>
      </c>
      <c r="M18" s="74">
        <f t="shared" si="5"/>
        <v>0</v>
      </c>
      <c r="N18" s="61">
        <f t="shared" si="6"/>
        <v>0</v>
      </c>
      <c r="O18" s="17"/>
      <c r="P18" s="18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</row>
    <row r="19" spans="1:75" s="41" customFormat="1" ht="15.75">
      <c r="A19" s="64">
        <f>IF(F19&lt;&gt;"",1+MAX($A$2:A18),"")</f>
        <v>9</v>
      </c>
      <c r="B19" s="75"/>
      <c r="C19" s="63" t="s">
        <v>50</v>
      </c>
      <c r="D19" s="57">
        <v>0</v>
      </c>
      <c r="E19" s="45">
        <v>0</v>
      </c>
      <c r="F19" s="57">
        <f t="shared" si="0"/>
        <v>0</v>
      </c>
      <c r="G19" s="58" t="s">
        <v>40</v>
      </c>
      <c r="H19" s="44">
        <v>0</v>
      </c>
      <c r="I19" s="46">
        <f t="shared" si="1"/>
        <v>0</v>
      </c>
      <c r="J19" s="72">
        <v>0</v>
      </c>
      <c r="K19" s="73">
        <f t="shared" si="4"/>
        <v>0</v>
      </c>
      <c r="L19" s="65">
        <v>0</v>
      </c>
      <c r="M19" s="74">
        <f t="shared" si="5"/>
        <v>0</v>
      </c>
      <c r="N19" s="61">
        <f t="shared" si="6"/>
        <v>0</v>
      </c>
      <c r="O19" s="17"/>
      <c r="P19" s="18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</row>
    <row r="20" spans="1:75" s="41" customFormat="1" ht="15.75">
      <c r="A20" s="64">
        <f>IF(F20&lt;&gt;"",1+MAX($A$2:A19),"")</f>
        <v>10</v>
      </c>
      <c r="B20" s="75"/>
      <c r="C20" s="63" t="s">
        <v>51</v>
      </c>
      <c r="D20" s="57">
        <v>0</v>
      </c>
      <c r="E20" s="45">
        <v>0</v>
      </c>
      <c r="F20" s="57">
        <f t="shared" si="0"/>
        <v>0</v>
      </c>
      <c r="G20" s="58" t="s">
        <v>40</v>
      </c>
      <c r="H20" s="44">
        <v>0</v>
      </c>
      <c r="I20" s="46">
        <f t="shared" si="1"/>
        <v>0</v>
      </c>
      <c r="J20" s="72">
        <v>0</v>
      </c>
      <c r="K20" s="73">
        <f t="shared" si="4"/>
        <v>0</v>
      </c>
      <c r="L20" s="65">
        <v>0</v>
      </c>
      <c r="M20" s="74">
        <f t="shared" si="5"/>
        <v>0</v>
      </c>
      <c r="N20" s="61">
        <f t="shared" si="6"/>
        <v>0</v>
      </c>
      <c r="O20" s="17"/>
      <c r="P20" s="18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</row>
    <row r="21" spans="1:75" s="41" customFormat="1" ht="15.75">
      <c r="A21" s="64">
        <f>IF(F21&lt;&gt;"",1+MAX($A$2:A20),"")</f>
        <v>11</v>
      </c>
      <c r="B21" s="75"/>
      <c r="C21" s="63" t="s">
        <v>52</v>
      </c>
      <c r="D21" s="57">
        <v>0</v>
      </c>
      <c r="E21" s="45">
        <v>0</v>
      </c>
      <c r="F21" s="57">
        <f t="shared" si="0"/>
        <v>0</v>
      </c>
      <c r="G21" s="58" t="s">
        <v>40</v>
      </c>
      <c r="H21" s="44">
        <v>0</v>
      </c>
      <c r="I21" s="46">
        <f t="shared" si="1"/>
        <v>0</v>
      </c>
      <c r="J21" s="72">
        <v>0</v>
      </c>
      <c r="K21" s="73">
        <f t="shared" si="4"/>
        <v>0</v>
      </c>
      <c r="L21" s="65">
        <v>0</v>
      </c>
      <c r="M21" s="74">
        <f t="shared" si="5"/>
        <v>0</v>
      </c>
      <c r="N21" s="61">
        <f t="shared" si="6"/>
        <v>0</v>
      </c>
      <c r="O21" s="17"/>
      <c r="P21" s="18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</row>
    <row r="22" spans="1:75" s="41" customFormat="1" ht="15.75">
      <c r="A22" s="64">
        <f>IF(F22&lt;&gt;"",1+MAX($A$2:A21),"")</f>
        <v>12</v>
      </c>
      <c r="B22" s="75"/>
      <c r="C22" s="63" t="s">
        <v>53</v>
      </c>
      <c r="D22" s="57">
        <v>0</v>
      </c>
      <c r="E22" s="45">
        <v>0</v>
      </c>
      <c r="F22" s="57">
        <f t="shared" si="0"/>
        <v>0</v>
      </c>
      <c r="G22" s="58" t="s">
        <v>40</v>
      </c>
      <c r="H22" s="44">
        <v>0</v>
      </c>
      <c r="I22" s="46">
        <f t="shared" si="1"/>
        <v>0</v>
      </c>
      <c r="J22" s="72">
        <v>0</v>
      </c>
      <c r="K22" s="73">
        <f t="shared" si="4"/>
        <v>0</v>
      </c>
      <c r="L22" s="65">
        <v>0</v>
      </c>
      <c r="M22" s="74">
        <f t="shared" si="5"/>
        <v>0</v>
      </c>
      <c r="N22" s="61">
        <f t="shared" si="6"/>
        <v>0</v>
      </c>
      <c r="O22" s="17"/>
      <c r="P22" s="18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</row>
    <row r="23" spans="1:75" s="41" customFormat="1" ht="15.75">
      <c r="A23" s="64" t="str">
        <f>IF(F23&lt;&gt;"",1+MAX($A$2:A22),"")</f>
        <v/>
      </c>
      <c r="B23" s="75"/>
      <c r="C23" s="15"/>
      <c r="D23" s="57"/>
      <c r="E23" s="45"/>
      <c r="F23" s="57"/>
      <c r="G23" s="58"/>
      <c r="H23" s="44"/>
      <c r="I23" s="46"/>
      <c r="J23" s="46"/>
      <c r="K23" s="46"/>
      <c r="L23" s="59"/>
      <c r="M23" s="60"/>
      <c r="N23" s="61"/>
      <c r="O23" s="17"/>
      <c r="P23" s="18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</row>
    <row r="24" spans="1:75" s="42" customFormat="1" ht="18.75">
      <c r="A24" s="333" t="s">
        <v>24</v>
      </c>
      <c r="B24" s="334"/>
      <c r="C24" s="334"/>
      <c r="D24" s="334"/>
      <c r="E24" s="334"/>
      <c r="F24" s="334"/>
      <c r="G24" s="334"/>
      <c r="H24" s="334"/>
      <c r="I24" s="334"/>
      <c r="J24" s="334"/>
      <c r="K24" s="334"/>
      <c r="L24" s="334"/>
      <c r="M24" s="334"/>
      <c r="N24" s="334"/>
      <c r="O24" s="334"/>
      <c r="P24" s="56">
        <f>SUM(N25:N167)</f>
        <v>0</v>
      </c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</row>
    <row r="25" spans="1:75" s="41" customFormat="1" ht="15.75">
      <c r="A25" s="64" t="str">
        <f>IF(F25&lt;&gt;"",1+MAX($A$2:A24),"")</f>
        <v/>
      </c>
      <c r="B25" s="32"/>
      <c r="C25" s="15"/>
      <c r="D25" s="57"/>
      <c r="E25" s="45"/>
      <c r="F25" s="57"/>
      <c r="G25" s="58"/>
      <c r="H25" s="44"/>
      <c r="I25" s="46"/>
      <c r="J25" s="46"/>
      <c r="K25" s="46"/>
      <c r="L25" s="59"/>
      <c r="M25" s="60"/>
      <c r="N25" s="61"/>
      <c r="O25" s="17"/>
      <c r="P25" s="18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</row>
    <row r="26" spans="1:75" s="41" customFormat="1" ht="15.75">
      <c r="A26" s="64" t="str">
        <f>IF(F26&lt;&gt;"",1+MAX($A$2:A25),"")</f>
        <v/>
      </c>
      <c r="B26" s="335" t="s">
        <v>153</v>
      </c>
      <c r="C26" s="62" t="s">
        <v>28</v>
      </c>
      <c r="D26" s="57"/>
      <c r="E26" s="45"/>
      <c r="F26" s="57"/>
      <c r="G26" s="58"/>
      <c r="H26" s="44"/>
      <c r="I26" s="46"/>
      <c r="J26" s="46"/>
      <c r="K26" s="46"/>
      <c r="L26" s="59"/>
      <c r="M26" s="60"/>
      <c r="N26" s="61"/>
      <c r="O26" s="17"/>
      <c r="P26" s="18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</row>
    <row r="27" spans="1:75" s="78" customFormat="1" ht="15.75">
      <c r="A27" s="64" t="str">
        <f>IF(F27&lt;&gt;"",1+MAX($A$2:A26),"")</f>
        <v/>
      </c>
      <c r="B27" s="313"/>
      <c r="C27" s="76" t="s">
        <v>88</v>
      </c>
      <c r="D27" s="57"/>
      <c r="E27" s="45"/>
      <c r="F27" s="57"/>
      <c r="G27" s="58"/>
      <c r="H27" s="44"/>
      <c r="I27" s="46"/>
      <c r="J27" s="46"/>
      <c r="K27" s="46"/>
      <c r="L27" s="59"/>
      <c r="M27" s="60"/>
      <c r="N27" s="61"/>
      <c r="O27" s="17"/>
      <c r="P27" s="18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</row>
    <row r="28" spans="1:75" s="41" customFormat="1" ht="31.5">
      <c r="A28" s="64">
        <f>IF(F28&lt;&gt;"",1+MAX($A$2:A27),"")</f>
        <v>13</v>
      </c>
      <c r="B28" s="313"/>
      <c r="C28" s="63" t="s">
        <v>97</v>
      </c>
      <c r="D28" s="57">
        <f>6*3*3*3.5/27</f>
        <v>7</v>
      </c>
      <c r="E28" s="45">
        <v>0.05</v>
      </c>
      <c r="F28" s="57">
        <f t="shared" ref="F28:F30" si="7">(1+E28)*D28</f>
        <v>7.3500000000000005</v>
      </c>
      <c r="G28" s="58" t="s">
        <v>22</v>
      </c>
      <c r="H28" s="44">
        <v>0</v>
      </c>
      <c r="I28" s="46">
        <f t="shared" ref="I28:I30" si="8">H28*F28</f>
        <v>0</v>
      </c>
      <c r="J28" s="72">
        <v>0</v>
      </c>
      <c r="K28" s="73">
        <f t="shared" ref="K28:K30" si="9">J28*F28</f>
        <v>0</v>
      </c>
      <c r="L28" s="65">
        <v>55</v>
      </c>
      <c r="M28" s="74">
        <f t="shared" ref="M28:M30" si="10">L28*K28</f>
        <v>0</v>
      </c>
      <c r="N28" s="61">
        <f t="shared" ref="N28:N30" si="11">M28+I28</f>
        <v>0</v>
      </c>
      <c r="O28" s="17"/>
      <c r="P28" s="18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</row>
    <row r="29" spans="1:75" s="41" customFormat="1" ht="31.5">
      <c r="A29" s="64">
        <f>IF(F29&lt;&gt;"",1+MAX($A$2:A28),"")</f>
        <v>14</v>
      </c>
      <c r="B29" s="313"/>
      <c r="C29" s="63" t="s">
        <v>98</v>
      </c>
      <c r="D29" s="57">
        <f>4*3*3.5*11.67/27</f>
        <v>18.153333333333332</v>
      </c>
      <c r="E29" s="45">
        <v>0.05</v>
      </c>
      <c r="F29" s="57">
        <f t="shared" si="7"/>
        <v>19.061</v>
      </c>
      <c r="G29" s="58" t="s">
        <v>22</v>
      </c>
      <c r="H29" s="44">
        <v>0</v>
      </c>
      <c r="I29" s="46">
        <f t="shared" si="8"/>
        <v>0</v>
      </c>
      <c r="J29" s="72">
        <v>0</v>
      </c>
      <c r="K29" s="73">
        <f t="shared" si="9"/>
        <v>0</v>
      </c>
      <c r="L29" s="65">
        <v>55</v>
      </c>
      <c r="M29" s="74">
        <f t="shared" si="10"/>
        <v>0</v>
      </c>
      <c r="N29" s="61">
        <f t="shared" si="11"/>
        <v>0</v>
      </c>
      <c r="O29" s="17"/>
      <c r="P29" s="18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</row>
    <row r="30" spans="1:75" s="41" customFormat="1" ht="31.5">
      <c r="A30" s="64">
        <f>IF(F30&lt;&gt;"",1+MAX($A$2:A29),"")</f>
        <v>15</v>
      </c>
      <c r="B30" s="313"/>
      <c r="C30" s="63" t="s">
        <v>99</v>
      </c>
      <c r="D30" s="57">
        <f>2*3*3.5*10.5/27</f>
        <v>8.1666666666666661</v>
      </c>
      <c r="E30" s="45">
        <v>0.05</v>
      </c>
      <c r="F30" s="57">
        <f t="shared" si="7"/>
        <v>8.5749999999999993</v>
      </c>
      <c r="G30" s="58" t="s">
        <v>22</v>
      </c>
      <c r="H30" s="44">
        <v>0</v>
      </c>
      <c r="I30" s="46">
        <f t="shared" si="8"/>
        <v>0</v>
      </c>
      <c r="J30" s="72">
        <v>0</v>
      </c>
      <c r="K30" s="73">
        <f t="shared" si="9"/>
        <v>0</v>
      </c>
      <c r="L30" s="65">
        <v>55</v>
      </c>
      <c r="M30" s="74">
        <f t="shared" si="10"/>
        <v>0</v>
      </c>
      <c r="N30" s="61">
        <f t="shared" si="11"/>
        <v>0</v>
      </c>
      <c r="O30" s="17"/>
      <c r="P30" s="18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</row>
    <row r="31" spans="1:75" s="41" customFormat="1" ht="31.5">
      <c r="A31" s="64">
        <f>IF(F31&lt;&gt;"",1+MAX($A$2:A30),"")</f>
        <v>16</v>
      </c>
      <c r="B31" s="313"/>
      <c r="C31" s="63" t="s">
        <v>100</v>
      </c>
      <c r="D31" s="57">
        <f>1*3*3.5*10.67/27</f>
        <v>4.1494444444444447</v>
      </c>
      <c r="E31" s="45">
        <v>0.05</v>
      </c>
      <c r="F31" s="57">
        <f t="shared" ref="F31:F33" si="12">(1+E31)*D31</f>
        <v>4.3569166666666668</v>
      </c>
      <c r="G31" s="58" t="s">
        <v>22</v>
      </c>
      <c r="H31" s="44">
        <v>0</v>
      </c>
      <c r="I31" s="46">
        <f t="shared" ref="I31:I33" si="13">H31*F31</f>
        <v>0</v>
      </c>
      <c r="J31" s="72">
        <v>0</v>
      </c>
      <c r="K31" s="73">
        <f t="shared" ref="K31:K33" si="14">J31*F31</f>
        <v>0</v>
      </c>
      <c r="L31" s="65">
        <v>55</v>
      </c>
      <c r="M31" s="74">
        <f t="shared" ref="M31:M33" si="15">L31*K31</f>
        <v>0</v>
      </c>
      <c r="N31" s="61">
        <f t="shared" ref="N31:N33" si="16">M31+I31</f>
        <v>0</v>
      </c>
      <c r="O31" s="17"/>
      <c r="P31" s="18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</row>
    <row r="32" spans="1:75" s="41" customFormat="1" ht="15.75">
      <c r="A32" s="64">
        <f>IF(F32&lt;&gt;"",1+MAX($A$2:A31),"")</f>
        <v>17</v>
      </c>
      <c r="B32" s="313"/>
      <c r="C32" s="63" t="s">
        <v>101</v>
      </c>
      <c r="D32" s="57">
        <f>1*3*11*4/27</f>
        <v>4.8888888888888893</v>
      </c>
      <c r="E32" s="45">
        <v>0.05</v>
      </c>
      <c r="F32" s="57">
        <f t="shared" si="12"/>
        <v>5.1333333333333337</v>
      </c>
      <c r="G32" s="58" t="s">
        <v>22</v>
      </c>
      <c r="H32" s="44">
        <v>0</v>
      </c>
      <c r="I32" s="46">
        <f t="shared" si="13"/>
        <v>0</v>
      </c>
      <c r="J32" s="72">
        <v>0</v>
      </c>
      <c r="K32" s="73">
        <f t="shared" si="14"/>
        <v>0</v>
      </c>
      <c r="L32" s="65">
        <v>55</v>
      </c>
      <c r="M32" s="74">
        <f t="shared" si="15"/>
        <v>0</v>
      </c>
      <c r="N32" s="61">
        <f t="shared" si="16"/>
        <v>0</v>
      </c>
      <c r="O32" s="17"/>
      <c r="P32" s="18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</row>
    <row r="33" spans="1:77" s="41" customFormat="1" ht="47.25">
      <c r="A33" s="64">
        <f>IF(F33&lt;&gt;"",1+MAX($A$2:A32),"")</f>
        <v>18</v>
      </c>
      <c r="B33" s="313"/>
      <c r="C33" s="63" t="s">
        <v>102</v>
      </c>
      <c r="D33" s="57">
        <f>1*12.58*3*4.67/27</f>
        <v>6.527622222222222</v>
      </c>
      <c r="E33" s="45">
        <v>0.05</v>
      </c>
      <c r="F33" s="57">
        <f t="shared" si="12"/>
        <v>6.854003333333333</v>
      </c>
      <c r="G33" s="58" t="s">
        <v>22</v>
      </c>
      <c r="H33" s="44">
        <v>0</v>
      </c>
      <c r="I33" s="46">
        <f t="shared" si="13"/>
        <v>0</v>
      </c>
      <c r="J33" s="72">
        <v>0</v>
      </c>
      <c r="K33" s="73">
        <f t="shared" si="14"/>
        <v>0</v>
      </c>
      <c r="L33" s="65">
        <v>55</v>
      </c>
      <c r="M33" s="74">
        <f t="shared" si="15"/>
        <v>0</v>
      </c>
      <c r="N33" s="61">
        <f t="shared" si="16"/>
        <v>0</v>
      </c>
      <c r="O33" s="17"/>
      <c r="P33" s="18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</row>
    <row r="34" spans="1:77" s="41" customFormat="1" ht="47.25">
      <c r="A34" s="64">
        <f>IF(F34&lt;&gt;"",1+MAX($A$2:A33),"")</f>
        <v>19</v>
      </c>
      <c r="B34" s="313"/>
      <c r="C34" s="63" t="s">
        <v>103</v>
      </c>
      <c r="D34" s="57">
        <f>1*12.58*3*5.67/27</f>
        <v>7.9254000000000007</v>
      </c>
      <c r="E34" s="45">
        <v>0.05</v>
      </c>
      <c r="F34" s="57">
        <f t="shared" ref="F34:F36" si="17">(1+E34)*D34</f>
        <v>8.321670000000001</v>
      </c>
      <c r="G34" s="58" t="s">
        <v>22</v>
      </c>
      <c r="H34" s="44">
        <v>0</v>
      </c>
      <c r="I34" s="46">
        <f t="shared" ref="I34:I36" si="18">H34*F34</f>
        <v>0</v>
      </c>
      <c r="J34" s="72">
        <v>0</v>
      </c>
      <c r="K34" s="73">
        <f t="shared" ref="K34:K36" si="19">J34*F34</f>
        <v>0</v>
      </c>
      <c r="L34" s="65">
        <v>55</v>
      </c>
      <c r="M34" s="74">
        <f t="shared" ref="M34:M36" si="20">L34*K34</f>
        <v>0</v>
      </c>
      <c r="N34" s="61">
        <f t="shared" ref="N34:N36" si="21">M34+I34</f>
        <v>0</v>
      </c>
      <c r="O34" s="17"/>
      <c r="P34" s="18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</row>
    <row r="35" spans="1:77" s="41" customFormat="1" ht="47.25">
      <c r="A35" s="64">
        <f>IF(F35&lt;&gt;"",1+MAX($A$2:A34),"")</f>
        <v>20</v>
      </c>
      <c r="B35" s="313"/>
      <c r="C35" s="63" t="s">
        <v>104</v>
      </c>
      <c r="D35" s="57">
        <f>1*23*3*5.67/27</f>
        <v>14.49</v>
      </c>
      <c r="E35" s="45">
        <v>0.05</v>
      </c>
      <c r="F35" s="57">
        <f t="shared" si="17"/>
        <v>15.214500000000001</v>
      </c>
      <c r="G35" s="58" t="s">
        <v>22</v>
      </c>
      <c r="H35" s="44">
        <v>0</v>
      </c>
      <c r="I35" s="46">
        <f t="shared" si="18"/>
        <v>0</v>
      </c>
      <c r="J35" s="72">
        <v>0</v>
      </c>
      <c r="K35" s="73">
        <f t="shared" si="19"/>
        <v>0</v>
      </c>
      <c r="L35" s="65">
        <v>55</v>
      </c>
      <c r="M35" s="74">
        <f t="shared" si="20"/>
        <v>0</v>
      </c>
      <c r="N35" s="61">
        <f t="shared" si="21"/>
        <v>0</v>
      </c>
      <c r="O35" s="17"/>
      <c r="P35" s="18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</row>
    <row r="36" spans="1:77" s="41" customFormat="1" ht="47.25">
      <c r="A36" s="64">
        <f>IF(F36&lt;&gt;"",1+MAX($A$2:A35),"")</f>
        <v>21</v>
      </c>
      <c r="B36" s="313"/>
      <c r="C36" s="63" t="s">
        <v>105</v>
      </c>
      <c r="D36" s="57">
        <f>1*23*3*5.67/27</f>
        <v>14.49</v>
      </c>
      <c r="E36" s="45">
        <v>0.05</v>
      </c>
      <c r="F36" s="57">
        <f t="shared" si="17"/>
        <v>15.214500000000001</v>
      </c>
      <c r="G36" s="58" t="s">
        <v>22</v>
      </c>
      <c r="H36" s="44">
        <v>0</v>
      </c>
      <c r="I36" s="46">
        <f t="shared" si="18"/>
        <v>0</v>
      </c>
      <c r="J36" s="72">
        <v>0</v>
      </c>
      <c r="K36" s="73">
        <f t="shared" si="19"/>
        <v>0</v>
      </c>
      <c r="L36" s="65">
        <v>55</v>
      </c>
      <c r="M36" s="74">
        <f t="shared" si="20"/>
        <v>0</v>
      </c>
      <c r="N36" s="61">
        <f t="shared" si="21"/>
        <v>0</v>
      </c>
      <c r="O36" s="17"/>
      <c r="P36" s="18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</row>
    <row r="37" spans="1:77" s="41" customFormat="1" ht="15.75">
      <c r="A37" s="64" t="str">
        <f>IF(F37&lt;&gt;"",1+MAX($A$2:A36),"")</f>
        <v/>
      </c>
      <c r="B37" s="336" t="s">
        <v>199</v>
      </c>
      <c r="C37" s="62" t="s">
        <v>54</v>
      </c>
      <c r="D37" s="57"/>
      <c r="E37" s="45"/>
      <c r="F37" s="57"/>
      <c r="G37" s="58"/>
      <c r="H37" s="44"/>
      <c r="I37" s="46"/>
      <c r="J37" s="46"/>
      <c r="K37" s="46"/>
      <c r="L37" s="59"/>
      <c r="M37" s="60"/>
      <c r="N37" s="61"/>
      <c r="O37" s="17"/>
      <c r="P37" s="18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</row>
    <row r="38" spans="1:77" s="41" customFormat="1" ht="47.25">
      <c r="A38" s="64">
        <f>IF(F38&lt;&gt;"",1+MAX($A$2:A37),"")</f>
        <v>22</v>
      </c>
      <c r="B38" s="313"/>
      <c r="C38" s="63" t="s">
        <v>89</v>
      </c>
      <c r="D38" s="57">
        <f>69.88*1*11/27</f>
        <v>28.469629629629626</v>
      </c>
      <c r="E38" s="45">
        <v>0.05</v>
      </c>
      <c r="F38" s="57">
        <f t="shared" ref="F38:F45" si="22">(1+E38)*D38</f>
        <v>29.893111111111107</v>
      </c>
      <c r="G38" s="58" t="s">
        <v>22</v>
      </c>
      <c r="H38" s="44">
        <v>0</v>
      </c>
      <c r="I38" s="46">
        <f t="shared" ref="I38:I42" si="23">H38*F38</f>
        <v>0</v>
      </c>
      <c r="J38" s="72">
        <v>0</v>
      </c>
      <c r="K38" s="73">
        <f t="shared" ref="K38:K42" si="24">J38*F38</f>
        <v>0</v>
      </c>
      <c r="L38" s="65">
        <v>55</v>
      </c>
      <c r="M38" s="74">
        <f t="shared" ref="M38:M42" si="25">L38*K38</f>
        <v>0</v>
      </c>
      <c r="N38" s="61">
        <f t="shared" ref="N38:N42" si="26">M38+I38</f>
        <v>0</v>
      </c>
      <c r="O38" s="17"/>
      <c r="P38" s="18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</row>
    <row r="39" spans="1:77" s="41" customFormat="1" ht="47.25">
      <c r="A39" s="64">
        <f>IF(F39&lt;&gt;"",1+MAX($A$2:A38),"")</f>
        <v>23</v>
      </c>
      <c r="B39" s="313"/>
      <c r="C39" s="63" t="s">
        <v>90</v>
      </c>
      <c r="D39" s="57">
        <f>70.16*1*10/27</f>
        <v>25.985185185185181</v>
      </c>
      <c r="E39" s="45">
        <v>0.05</v>
      </c>
      <c r="F39" s="57">
        <f t="shared" si="22"/>
        <v>27.284444444444439</v>
      </c>
      <c r="G39" s="58" t="s">
        <v>22</v>
      </c>
      <c r="H39" s="44">
        <v>0</v>
      </c>
      <c r="I39" s="46">
        <f t="shared" si="23"/>
        <v>0</v>
      </c>
      <c r="J39" s="72">
        <v>0</v>
      </c>
      <c r="K39" s="73">
        <f t="shared" si="24"/>
        <v>0</v>
      </c>
      <c r="L39" s="65">
        <v>55</v>
      </c>
      <c r="M39" s="74">
        <f t="shared" si="25"/>
        <v>0</v>
      </c>
      <c r="N39" s="61">
        <f t="shared" si="26"/>
        <v>0</v>
      </c>
      <c r="O39" s="17"/>
      <c r="P39" s="18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</row>
    <row r="40" spans="1:77" s="41" customFormat="1" ht="47.25">
      <c r="A40" s="64">
        <f>IF(F40&lt;&gt;"",1+MAX($A$2:A39),"")</f>
        <v>24</v>
      </c>
      <c r="B40" s="313"/>
      <c r="C40" s="63" t="s">
        <v>91</v>
      </c>
      <c r="D40" s="57">
        <f>15.13*1*9.167/27</f>
        <v>5.1369151851851846</v>
      </c>
      <c r="E40" s="45">
        <v>0.05</v>
      </c>
      <c r="F40" s="57">
        <f t="shared" si="22"/>
        <v>5.3937609444444439</v>
      </c>
      <c r="G40" s="58" t="s">
        <v>22</v>
      </c>
      <c r="H40" s="44">
        <v>0</v>
      </c>
      <c r="I40" s="46">
        <f t="shared" si="23"/>
        <v>0</v>
      </c>
      <c r="J40" s="72">
        <v>0</v>
      </c>
      <c r="K40" s="73">
        <f t="shared" si="24"/>
        <v>0</v>
      </c>
      <c r="L40" s="65">
        <v>55</v>
      </c>
      <c r="M40" s="74">
        <f t="shared" si="25"/>
        <v>0</v>
      </c>
      <c r="N40" s="61">
        <f t="shared" si="26"/>
        <v>0</v>
      </c>
      <c r="O40" s="17"/>
      <c r="P40" s="18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</row>
    <row r="41" spans="1:77" s="41" customFormat="1" ht="47.25">
      <c r="A41" s="64">
        <f>IF(F41&lt;&gt;"",1+MAX($A$2:A40),"")</f>
        <v>25</v>
      </c>
      <c r="B41" s="313"/>
      <c r="C41" s="63" t="s">
        <v>92</v>
      </c>
      <c r="D41" s="57">
        <f>82.83*12.167*1/27</f>
        <v>37.325652222222224</v>
      </c>
      <c r="E41" s="45">
        <v>0.05</v>
      </c>
      <c r="F41" s="57">
        <f t="shared" si="22"/>
        <v>39.191934833333335</v>
      </c>
      <c r="G41" s="58" t="s">
        <v>22</v>
      </c>
      <c r="H41" s="44">
        <v>0</v>
      </c>
      <c r="I41" s="46">
        <f t="shared" si="23"/>
        <v>0</v>
      </c>
      <c r="J41" s="72">
        <v>0</v>
      </c>
      <c r="K41" s="73">
        <f t="shared" si="24"/>
        <v>0</v>
      </c>
      <c r="L41" s="65">
        <v>55</v>
      </c>
      <c r="M41" s="74">
        <f t="shared" si="25"/>
        <v>0</v>
      </c>
      <c r="N41" s="61">
        <f t="shared" si="26"/>
        <v>0</v>
      </c>
      <c r="O41" s="17"/>
      <c r="P41" s="18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</row>
    <row r="42" spans="1:77" s="41" customFormat="1" ht="31.5">
      <c r="A42" s="64">
        <f>IF(F42&lt;&gt;"",1+MAX($A$2:A41),"")</f>
        <v>26</v>
      </c>
      <c r="B42" s="313"/>
      <c r="C42" s="63" t="s">
        <v>93</v>
      </c>
      <c r="D42" s="57">
        <f>10.25*9*0.67/27</f>
        <v>2.289166666666667</v>
      </c>
      <c r="E42" s="45">
        <v>0.05</v>
      </c>
      <c r="F42" s="57">
        <f t="shared" si="22"/>
        <v>2.4036250000000003</v>
      </c>
      <c r="G42" s="58" t="s">
        <v>22</v>
      </c>
      <c r="H42" s="44">
        <v>0</v>
      </c>
      <c r="I42" s="46">
        <f t="shared" si="23"/>
        <v>0</v>
      </c>
      <c r="J42" s="72">
        <v>0</v>
      </c>
      <c r="K42" s="73">
        <f t="shared" si="24"/>
        <v>0</v>
      </c>
      <c r="L42" s="65">
        <v>55</v>
      </c>
      <c r="M42" s="74">
        <f t="shared" si="25"/>
        <v>0</v>
      </c>
      <c r="N42" s="61">
        <f t="shared" si="26"/>
        <v>0</v>
      </c>
      <c r="O42" s="17"/>
      <c r="P42" s="18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</row>
    <row r="43" spans="1:77" s="41" customFormat="1" ht="31.5">
      <c r="A43" s="64">
        <f>IF(F43&lt;&gt;"",1+MAX($A$2:A42),"")</f>
        <v>27</v>
      </c>
      <c r="B43" s="313"/>
      <c r="C43" s="63" t="s">
        <v>94</v>
      </c>
      <c r="D43" s="57">
        <f>40.26*3*0.75/27</f>
        <v>3.3550000000000004</v>
      </c>
      <c r="E43" s="45">
        <v>0.05</v>
      </c>
      <c r="F43" s="57">
        <f t="shared" si="22"/>
        <v>3.5227500000000007</v>
      </c>
      <c r="G43" s="58" t="s">
        <v>22</v>
      </c>
      <c r="H43" s="44">
        <v>0</v>
      </c>
      <c r="I43" s="46">
        <f t="shared" ref="I43:I71" si="27">H43*F43</f>
        <v>0</v>
      </c>
      <c r="J43" s="72">
        <v>0</v>
      </c>
      <c r="K43" s="73">
        <f t="shared" ref="K43:K71" si="28">J43*F43</f>
        <v>0</v>
      </c>
      <c r="L43" s="65">
        <v>55</v>
      </c>
      <c r="M43" s="74">
        <f t="shared" ref="M43:M71" si="29">L43*K43</f>
        <v>0</v>
      </c>
      <c r="N43" s="61">
        <f t="shared" ref="N43:N71" si="30">M43+I43</f>
        <v>0</v>
      </c>
      <c r="O43" s="17"/>
      <c r="P43" s="18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</row>
    <row r="44" spans="1:77" s="41" customFormat="1" ht="31.5">
      <c r="A44" s="64">
        <f>IF(F44&lt;&gt;"",1+MAX($A$2:A43),"")</f>
        <v>28</v>
      </c>
      <c r="B44" s="313"/>
      <c r="C44" s="63" t="s">
        <v>95</v>
      </c>
      <c r="D44" s="57">
        <f>17.02*0.83*9/27</f>
        <v>4.7088666666666663</v>
      </c>
      <c r="E44" s="45">
        <v>0.05</v>
      </c>
      <c r="F44" s="57">
        <f t="shared" si="22"/>
        <v>4.9443099999999998</v>
      </c>
      <c r="G44" s="58" t="s">
        <v>22</v>
      </c>
      <c r="H44" s="44">
        <v>0</v>
      </c>
      <c r="I44" s="46">
        <f t="shared" si="27"/>
        <v>0</v>
      </c>
      <c r="J44" s="72">
        <v>0</v>
      </c>
      <c r="K44" s="73">
        <f t="shared" si="28"/>
        <v>0</v>
      </c>
      <c r="L44" s="65">
        <v>55</v>
      </c>
      <c r="M44" s="74">
        <f t="shared" si="29"/>
        <v>0</v>
      </c>
      <c r="N44" s="61">
        <f t="shared" si="30"/>
        <v>0</v>
      </c>
      <c r="O44" s="17"/>
      <c r="P44" s="18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</row>
    <row r="45" spans="1:77" s="41" customFormat="1" ht="31.5">
      <c r="A45" s="64">
        <f>IF(F45&lt;&gt;"",1+MAX($A$2:A44),"")</f>
        <v>29</v>
      </c>
      <c r="B45" s="313"/>
      <c r="C45" s="63" t="s">
        <v>96</v>
      </c>
      <c r="D45" s="57">
        <f>38.59*9*1/27</f>
        <v>12.863333333333335</v>
      </c>
      <c r="E45" s="45">
        <v>0.05</v>
      </c>
      <c r="F45" s="57">
        <f t="shared" si="22"/>
        <v>13.506500000000003</v>
      </c>
      <c r="G45" s="58" t="s">
        <v>22</v>
      </c>
      <c r="H45" s="44">
        <v>0</v>
      </c>
      <c r="I45" s="46">
        <f t="shared" si="27"/>
        <v>0</v>
      </c>
      <c r="J45" s="72">
        <v>0</v>
      </c>
      <c r="K45" s="73">
        <f t="shared" si="28"/>
        <v>0</v>
      </c>
      <c r="L45" s="65">
        <v>55</v>
      </c>
      <c r="M45" s="74">
        <f t="shared" si="29"/>
        <v>0</v>
      </c>
      <c r="N45" s="61">
        <f t="shared" si="30"/>
        <v>0</v>
      </c>
      <c r="O45" s="17"/>
      <c r="P45" s="18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</row>
    <row r="46" spans="1:77" s="41" customFormat="1" ht="31.5">
      <c r="A46" s="64">
        <f>IF(F46&lt;&gt;"",1+MAX($A$2:A45),"")</f>
        <v>30</v>
      </c>
      <c r="B46" s="70"/>
      <c r="C46" s="206" t="s">
        <v>187</v>
      </c>
      <c r="D46" s="224">
        <f>(33.99*0.83*10.25)/27</f>
        <v>10.709997222222221</v>
      </c>
      <c r="E46" s="189">
        <v>0.05</v>
      </c>
      <c r="F46" s="188">
        <f t="shared" ref="F46:F74" si="31">(1+E46)*D46</f>
        <v>11.245497083333332</v>
      </c>
      <c r="G46" s="190" t="s">
        <v>22</v>
      </c>
      <c r="H46" s="191">
        <v>0</v>
      </c>
      <c r="I46" s="192">
        <f t="shared" si="27"/>
        <v>0</v>
      </c>
      <c r="J46" s="193">
        <v>0</v>
      </c>
      <c r="K46" s="194">
        <f t="shared" si="28"/>
        <v>0</v>
      </c>
      <c r="L46" s="195">
        <v>55</v>
      </c>
      <c r="M46" s="196">
        <f t="shared" si="29"/>
        <v>0</v>
      </c>
      <c r="N46" s="197">
        <f t="shared" si="30"/>
        <v>0</v>
      </c>
      <c r="O46" s="198"/>
      <c r="P46" s="18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</row>
    <row r="47" spans="1:77" s="41" customFormat="1" ht="31.5">
      <c r="A47" s="64">
        <f>IF(F47&lt;&gt;"",1+MAX($A$2:A46),"")</f>
        <v>31</v>
      </c>
      <c r="B47" s="70"/>
      <c r="C47" s="206" t="s">
        <v>188</v>
      </c>
      <c r="D47" s="207">
        <v>5.1515740740740741</v>
      </c>
      <c r="E47" s="189">
        <v>0.05</v>
      </c>
      <c r="F47" s="188">
        <f t="shared" si="31"/>
        <v>5.4091527777777779</v>
      </c>
      <c r="G47" s="190" t="s">
        <v>22</v>
      </c>
      <c r="H47" s="191">
        <v>0</v>
      </c>
      <c r="I47" s="192">
        <f t="shared" si="27"/>
        <v>0</v>
      </c>
      <c r="J47" s="193">
        <v>0</v>
      </c>
      <c r="K47" s="194">
        <f t="shared" si="28"/>
        <v>0</v>
      </c>
      <c r="L47" s="195">
        <v>55</v>
      </c>
      <c r="M47" s="196">
        <f t="shared" si="29"/>
        <v>0</v>
      </c>
      <c r="N47" s="197">
        <f t="shared" si="30"/>
        <v>0</v>
      </c>
      <c r="O47" s="198"/>
      <c r="P47" s="18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</row>
    <row r="48" spans="1:77" s="41" customFormat="1" ht="31.5">
      <c r="A48" s="64">
        <f>IF(F48&lt;&gt;"",1+MAX($A$2:A47),"")</f>
        <v>32</v>
      </c>
      <c r="B48" s="70"/>
      <c r="C48" s="206" t="s">
        <v>189</v>
      </c>
      <c r="D48" s="207">
        <v>3.716574074074074</v>
      </c>
      <c r="E48" s="189">
        <v>0.05</v>
      </c>
      <c r="F48" s="188">
        <f t="shared" si="31"/>
        <v>3.9024027777777781</v>
      </c>
      <c r="G48" s="190" t="s">
        <v>22</v>
      </c>
      <c r="H48" s="191">
        <v>0</v>
      </c>
      <c r="I48" s="192">
        <f t="shared" si="27"/>
        <v>0</v>
      </c>
      <c r="J48" s="193">
        <v>0</v>
      </c>
      <c r="K48" s="194">
        <f t="shared" si="28"/>
        <v>0</v>
      </c>
      <c r="L48" s="195">
        <v>55</v>
      </c>
      <c r="M48" s="196">
        <f t="shared" si="29"/>
        <v>0</v>
      </c>
      <c r="N48" s="197">
        <f t="shared" si="30"/>
        <v>0</v>
      </c>
      <c r="O48" s="198"/>
      <c r="P48" s="18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</row>
    <row r="49" spans="1:77" s="41" customFormat="1" ht="31.5">
      <c r="A49" s="64">
        <f>IF(F49&lt;&gt;"",1+MAX($A$2:A48),"")</f>
        <v>33</v>
      </c>
      <c r="B49" s="70"/>
      <c r="C49" s="216" t="s">
        <v>190</v>
      </c>
      <c r="D49" s="217">
        <v>10.06220128148148</v>
      </c>
      <c r="E49" s="189">
        <v>0.05</v>
      </c>
      <c r="F49" s="188">
        <f t="shared" si="31"/>
        <v>10.565311345555555</v>
      </c>
      <c r="G49" s="190" t="s">
        <v>22</v>
      </c>
      <c r="H49" s="191">
        <v>0</v>
      </c>
      <c r="I49" s="192">
        <f t="shared" si="27"/>
        <v>0</v>
      </c>
      <c r="J49" s="193">
        <v>0</v>
      </c>
      <c r="K49" s="194">
        <f t="shared" si="28"/>
        <v>0</v>
      </c>
      <c r="L49" s="195">
        <v>55</v>
      </c>
      <c r="M49" s="196">
        <f t="shared" si="29"/>
        <v>0</v>
      </c>
      <c r="N49" s="197">
        <f t="shared" si="30"/>
        <v>0</v>
      </c>
      <c r="O49" s="198"/>
      <c r="P49" s="18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</row>
    <row r="50" spans="1:77" s="41" customFormat="1" ht="31.5">
      <c r="A50" s="64">
        <f>IF(F50&lt;&gt;"",1+MAX($A$2:A49),"")</f>
        <v>34</v>
      </c>
      <c r="B50" s="70"/>
      <c r="C50" s="216" t="s">
        <v>201</v>
      </c>
      <c r="D50" s="217">
        <v>4.8514018518518522</v>
      </c>
      <c r="E50" s="189">
        <v>0.05</v>
      </c>
      <c r="F50" s="188">
        <f t="shared" si="31"/>
        <v>5.0939719444444451</v>
      </c>
      <c r="G50" s="190" t="s">
        <v>22</v>
      </c>
      <c r="H50" s="191">
        <v>0</v>
      </c>
      <c r="I50" s="192">
        <f t="shared" si="27"/>
        <v>0</v>
      </c>
      <c r="J50" s="193">
        <v>0</v>
      </c>
      <c r="K50" s="194">
        <f t="shared" si="28"/>
        <v>0</v>
      </c>
      <c r="L50" s="195">
        <v>55</v>
      </c>
      <c r="M50" s="196">
        <f t="shared" si="29"/>
        <v>0</v>
      </c>
      <c r="N50" s="197">
        <f t="shared" si="30"/>
        <v>0</v>
      </c>
      <c r="O50" s="198"/>
      <c r="P50" s="18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</row>
    <row r="51" spans="1:77" s="41" customFormat="1" ht="31.5">
      <c r="A51" s="64">
        <f>IF(F51&lt;&gt;"",1+MAX($A$2:A50),"")</f>
        <v>35</v>
      </c>
      <c r="B51" s="70"/>
      <c r="C51" s="216" t="s">
        <v>202</v>
      </c>
      <c r="D51" s="217">
        <v>3.5087629629629635</v>
      </c>
      <c r="E51" s="189">
        <v>0.05</v>
      </c>
      <c r="F51" s="188">
        <f t="shared" si="31"/>
        <v>3.6842011111111117</v>
      </c>
      <c r="G51" s="190" t="s">
        <v>22</v>
      </c>
      <c r="H51" s="191">
        <v>0</v>
      </c>
      <c r="I51" s="192">
        <f t="shared" si="27"/>
        <v>0</v>
      </c>
      <c r="J51" s="193">
        <v>0</v>
      </c>
      <c r="K51" s="194">
        <f t="shared" si="28"/>
        <v>0</v>
      </c>
      <c r="L51" s="195">
        <v>55</v>
      </c>
      <c r="M51" s="196">
        <f t="shared" si="29"/>
        <v>0</v>
      </c>
      <c r="N51" s="197">
        <f t="shared" si="30"/>
        <v>0</v>
      </c>
      <c r="O51" s="198"/>
      <c r="P51" s="18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</row>
    <row r="52" spans="1:77" s="41" customFormat="1" ht="31.5">
      <c r="A52" s="64">
        <f>IF(F52&lt;&gt;"",1+MAX($A$2:A51),"")</f>
        <v>36</v>
      </c>
      <c r="B52" s="70"/>
      <c r="C52" s="216" t="s">
        <v>203</v>
      </c>
      <c r="D52" s="217">
        <v>70.893051911111101</v>
      </c>
      <c r="E52" s="189">
        <v>0.05</v>
      </c>
      <c r="F52" s="188">
        <f t="shared" si="31"/>
        <v>74.437704506666662</v>
      </c>
      <c r="G52" s="190" t="s">
        <v>22</v>
      </c>
      <c r="H52" s="191">
        <v>0</v>
      </c>
      <c r="I52" s="192">
        <f t="shared" si="27"/>
        <v>0</v>
      </c>
      <c r="J52" s="193">
        <v>0</v>
      </c>
      <c r="K52" s="194">
        <f t="shared" si="28"/>
        <v>0</v>
      </c>
      <c r="L52" s="195">
        <v>55</v>
      </c>
      <c r="M52" s="196">
        <f t="shared" si="29"/>
        <v>0</v>
      </c>
      <c r="N52" s="197">
        <f t="shared" si="30"/>
        <v>0</v>
      </c>
      <c r="O52" s="198"/>
      <c r="P52" s="18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</row>
    <row r="53" spans="1:77" s="41" customFormat="1" ht="31.5">
      <c r="A53" s="64">
        <f>IF(F53&lt;&gt;"",1+MAX($A$2:A52),"")</f>
        <v>37</v>
      </c>
      <c r="B53" s="70"/>
      <c r="C53" s="216" t="s">
        <v>204</v>
      </c>
      <c r="D53" s="217">
        <v>34.060063333333332</v>
      </c>
      <c r="E53" s="189">
        <v>0.05</v>
      </c>
      <c r="F53" s="188">
        <f t="shared" si="31"/>
        <v>35.763066500000001</v>
      </c>
      <c r="G53" s="190" t="s">
        <v>22</v>
      </c>
      <c r="H53" s="191">
        <v>0</v>
      </c>
      <c r="I53" s="192">
        <f t="shared" si="27"/>
        <v>0</v>
      </c>
      <c r="J53" s="193">
        <v>0</v>
      </c>
      <c r="K53" s="194">
        <f t="shared" si="28"/>
        <v>0</v>
      </c>
      <c r="L53" s="195">
        <v>55</v>
      </c>
      <c r="M53" s="196">
        <f t="shared" si="29"/>
        <v>0</v>
      </c>
      <c r="N53" s="197">
        <f t="shared" si="30"/>
        <v>0</v>
      </c>
      <c r="O53" s="198"/>
      <c r="P53" s="18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</row>
    <row r="54" spans="1:77" s="41" customFormat="1" ht="31.5">
      <c r="A54" s="64">
        <f>IF(F54&lt;&gt;"",1+MAX($A$2:A53),"")</f>
        <v>38</v>
      </c>
      <c r="B54" s="70"/>
      <c r="C54" s="216" t="s">
        <v>205</v>
      </c>
      <c r="D54" s="217">
        <v>24.561340740740746</v>
      </c>
      <c r="E54" s="189">
        <v>0.05</v>
      </c>
      <c r="F54" s="188">
        <f t="shared" si="31"/>
        <v>25.789407777777786</v>
      </c>
      <c r="G54" s="190" t="s">
        <v>22</v>
      </c>
      <c r="H54" s="191">
        <v>0</v>
      </c>
      <c r="I54" s="192">
        <f t="shared" si="27"/>
        <v>0</v>
      </c>
      <c r="J54" s="193">
        <v>0</v>
      </c>
      <c r="K54" s="194">
        <f t="shared" si="28"/>
        <v>0</v>
      </c>
      <c r="L54" s="195">
        <v>55</v>
      </c>
      <c r="M54" s="196">
        <f t="shared" si="29"/>
        <v>0</v>
      </c>
      <c r="N54" s="197">
        <f t="shared" si="30"/>
        <v>0</v>
      </c>
      <c r="O54" s="198"/>
      <c r="P54" s="18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</row>
    <row r="55" spans="1:77" s="41" customFormat="1" ht="31.5">
      <c r="A55" s="64">
        <f>IF(F55&lt;&gt;"",1+MAX($A$2:A54),"")</f>
        <v>39</v>
      </c>
      <c r="B55" s="70"/>
      <c r="C55" s="216" t="s">
        <v>206</v>
      </c>
      <c r="D55" s="217">
        <v>42.426353777777784</v>
      </c>
      <c r="E55" s="189">
        <v>0.05</v>
      </c>
      <c r="F55" s="188">
        <f t="shared" si="31"/>
        <v>44.547671466666678</v>
      </c>
      <c r="G55" s="190" t="s">
        <v>22</v>
      </c>
      <c r="H55" s="191">
        <v>0</v>
      </c>
      <c r="I55" s="192">
        <f t="shared" si="27"/>
        <v>0</v>
      </c>
      <c r="J55" s="193">
        <v>0</v>
      </c>
      <c r="K55" s="194">
        <f t="shared" si="28"/>
        <v>0</v>
      </c>
      <c r="L55" s="195">
        <v>55</v>
      </c>
      <c r="M55" s="196">
        <f t="shared" si="29"/>
        <v>0</v>
      </c>
      <c r="N55" s="197">
        <f t="shared" si="30"/>
        <v>0</v>
      </c>
      <c r="O55" s="198"/>
      <c r="P55" s="18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</row>
    <row r="56" spans="1:77" s="41" customFormat="1" ht="31.5">
      <c r="A56" s="64">
        <f>IF(F56&lt;&gt;"",1+MAX($A$2:A55),"")</f>
        <v>40</v>
      </c>
      <c r="B56" s="70"/>
      <c r="C56" s="216" t="s">
        <v>207</v>
      </c>
      <c r="D56" s="217">
        <v>20.350103703703706</v>
      </c>
      <c r="E56" s="189">
        <v>0.05</v>
      </c>
      <c r="F56" s="188">
        <f t="shared" si="31"/>
        <v>21.367608888888892</v>
      </c>
      <c r="G56" s="190" t="s">
        <v>22</v>
      </c>
      <c r="H56" s="191">
        <v>0</v>
      </c>
      <c r="I56" s="192">
        <f t="shared" si="27"/>
        <v>0</v>
      </c>
      <c r="J56" s="193">
        <v>0</v>
      </c>
      <c r="K56" s="194">
        <f t="shared" si="28"/>
        <v>0</v>
      </c>
      <c r="L56" s="195">
        <v>55</v>
      </c>
      <c r="M56" s="196">
        <f t="shared" si="29"/>
        <v>0</v>
      </c>
      <c r="N56" s="197">
        <f t="shared" si="30"/>
        <v>0</v>
      </c>
      <c r="O56" s="198"/>
      <c r="P56" s="18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</row>
    <row r="57" spans="1:77" s="41" customFormat="1" ht="31.5">
      <c r="A57" s="64">
        <f>IF(F57&lt;&gt;"",1+MAX($A$2:A56),"")</f>
        <v>41</v>
      </c>
      <c r="B57" s="70"/>
      <c r="C57" s="216" t="s">
        <v>208</v>
      </c>
      <c r="D57" s="217">
        <v>14.750814814814817</v>
      </c>
      <c r="E57" s="189">
        <v>0.05</v>
      </c>
      <c r="F57" s="188">
        <f t="shared" si="31"/>
        <v>15.488355555555557</v>
      </c>
      <c r="G57" s="190" t="s">
        <v>22</v>
      </c>
      <c r="H57" s="191">
        <v>0</v>
      </c>
      <c r="I57" s="192">
        <f t="shared" si="27"/>
        <v>0</v>
      </c>
      <c r="J57" s="193">
        <v>0</v>
      </c>
      <c r="K57" s="194">
        <f t="shared" si="28"/>
        <v>0</v>
      </c>
      <c r="L57" s="195">
        <v>55</v>
      </c>
      <c r="M57" s="196">
        <f t="shared" si="29"/>
        <v>0</v>
      </c>
      <c r="N57" s="197">
        <f t="shared" si="30"/>
        <v>0</v>
      </c>
      <c r="O57" s="198"/>
      <c r="P57" s="18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</row>
    <row r="58" spans="1:77" s="41" customFormat="1" ht="31.5">
      <c r="A58" s="64">
        <f>IF(F58&lt;&gt;"",1+MAX($A$2:A57),"")</f>
        <v>42</v>
      </c>
      <c r="B58" s="70"/>
      <c r="C58" s="216" t="s">
        <v>209</v>
      </c>
      <c r="D58" s="217">
        <v>11.68225</v>
      </c>
      <c r="E58" s="189">
        <v>0.05</v>
      </c>
      <c r="F58" s="188">
        <f t="shared" si="31"/>
        <v>12.2663625</v>
      </c>
      <c r="G58" s="190" t="s">
        <v>22</v>
      </c>
      <c r="H58" s="191">
        <v>0</v>
      </c>
      <c r="I58" s="192">
        <f t="shared" si="27"/>
        <v>0</v>
      </c>
      <c r="J58" s="193">
        <v>0</v>
      </c>
      <c r="K58" s="194">
        <f t="shared" si="28"/>
        <v>0</v>
      </c>
      <c r="L58" s="195">
        <v>55</v>
      </c>
      <c r="M58" s="196">
        <f t="shared" si="29"/>
        <v>0</v>
      </c>
      <c r="N58" s="197">
        <f t="shared" si="30"/>
        <v>0</v>
      </c>
      <c r="O58" s="198"/>
      <c r="P58" s="18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</row>
    <row r="59" spans="1:77" s="41" customFormat="1" ht="31.5">
      <c r="A59" s="64">
        <f>IF(F59&lt;&gt;"",1+MAX($A$2:A58),"")</f>
        <v>43</v>
      </c>
      <c r="B59" s="70"/>
      <c r="C59" s="216" t="s">
        <v>210</v>
      </c>
      <c r="D59" s="217">
        <v>5.6541666666666668</v>
      </c>
      <c r="E59" s="189">
        <v>0.05</v>
      </c>
      <c r="F59" s="188">
        <f t="shared" si="31"/>
        <v>5.9368750000000006</v>
      </c>
      <c r="G59" s="190" t="s">
        <v>22</v>
      </c>
      <c r="H59" s="191">
        <v>0</v>
      </c>
      <c r="I59" s="192">
        <f t="shared" si="27"/>
        <v>0</v>
      </c>
      <c r="J59" s="193">
        <v>0</v>
      </c>
      <c r="K59" s="194">
        <f t="shared" si="28"/>
        <v>0</v>
      </c>
      <c r="L59" s="195">
        <v>55</v>
      </c>
      <c r="M59" s="196">
        <f t="shared" si="29"/>
        <v>0</v>
      </c>
      <c r="N59" s="197">
        <f t="shared" si="30"/>
        <v>0</v>
      </c>
      <c r="O59" s="198"/>
      <c r="P59" s="18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</row>
    <row r="60" spans="1:77" s="41" customFormat="1" ht="31.5">
      <c r="A60" s="64">
        <f>IF(F60&lt;&gt;"",1+MAX($A$2:A59),"")</f>
        <v>44</v>
      </c>
      <c r="B60" s="70"/>
      <c r="C60" s="216" t="s">
        <v>211</v>
      </c>
      <c r="D60" s="217">
        <v>4.0833333333333339</v>
      </c>
      <c r="E60" s="189">
        <v>0.05</v>
      </c>
      <c r="F60" s="188">
        <f t="shared" si="31"/>
        <v>4.2875000000000005</v>
      </c>
      <c r="G60" s="190" t="s">
        <v>22</v>
      </c>
      <c r="H60" s="191">
        <v>0</v>
      </c>
      <c r="I60" s="192">
        <f t="shared" si="27"/>
        <v>0</v>
      </c>
      <c r="J60" s="193">
        <v>0</v>
      </c>
      <c r="K60" s="194">
        <f t="shared" si="28"/>
        <v>0</v>
      </c>
      <c r="L60" s="195">
        <v>55</v>
      </c>
      <c r="M60" s="196">
        <f t="shared" si="29"/>
        <v>0</v>
      </c>
      <c r="N60" s="197">
        <f t="shared" si="30"/>
        <v>0</v>
      </c>
      <c r="O60" s="198"/>
      <c r="P60" s="18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</row>
    <row r="61" spans="1:77" s="41" customFormat="1" ht="31.5">
      <c r="A61" s="64">
        <f>IF(F61&lt;&gt;"",1+MAX($A$2:A60),"")</f>
        <v>45</v>
      </c>
      <c r="B61" s="70"/>
      <c r="C61" s="216" t="s">
        <v>212</v>
      </c>
      <c r="D61" s="217">
        <v>11.775772555555557</v>
      </c>
      <c r="E61" s="189">
        <v>0.05</v>
      </c>
      <c r="F61" s="188">
        <f t="shared" si="31"/>
        <v>12.364561183333336</v>
      </c>
      <c r="G61" s="190" t="s">
        <v>22</v>
      </c>
      <c r="H61" s="191">
        <v>0</v>
      </c>
      <c r="I61" s="192">
        <f t="shared" si="27"/>
        <v>0</v>
      </c>
      <c r="J61" s="193">
        <v>0</v>
      </c>
      <c r="K61" s="194">
        <f t="shared" si="28"/>
        <v>0</v>
      </c>
      <c r="L61" s="195">
        <v>55</v>
      </c>
      <c r="M61" s="196">
        <f t="shared" si="29"/>
        <v>0</v>
      </c>
      <c r="N61" s="197">
        <f t="shared" si="30"/>
        <v>0</v>
      </c>
      <c r="O61" s="198"/>
      <c r="P61" s="18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</row>
    <row r="62" spans="1:77" s="41" customFormat="1" ht="31.5">
      <c r="A62" s="64">
        <f>IF(F62&lt;&gt;"",1+MAX($A$2:A61),"")</f>
        <v>46</v>
      </c>
      <c r="B62" s="70"/>
      <c r="C62" s="216" t="s">
        <v>213</v>
      </c>
      <c r="D62" s="217">
        <v>5.6943740740740738</v>
      </c>
      <c r="E62" s="189">
        <v>0.05</v>
      </c>
      <c r="F62" s="188">
        <f t="shared" si="31"/>
        <v>5.9790927777777778</v>
      </c>
      <c r="G62" s="190" t="s">
        <v>22</v>
      </c>
      <c r="H62" s="191">
        <v>0</v>
      </c>
      <c r="I62" s="192">
        <f t="shared" si="27"/>
        <v>0</v>
      </c>
      <c r="J62" s="193">
        <v>0</v>
      </c>
      <c r="K62" s="194">
        <f t="shared" si="28"/>
        <v>0</v>
      </c>
      <c r="L62" s="195">
        <v>55</v>
      </c>
      <c r="M62" s="196">
        <f t="shared" si="29"/>
        <v>0</v>
      </c>
      <c r="N62" s="197">
        <f t="shared" si="30"/>
        <v>0</v>
      </c>
      <c r="O62" s="198"/>
      <c r="P62" s="18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</row>
    <row r="63" spans="1:77" s="41" customFormat="1" ht="31.5">
      <c r="A63" s="64">
        <f>IF(F63&lt;&gt;"",1+MAX($A$2:A62),"")</f>
        <v>47</v>
      </c>
      <c r="B63" s="70"/>
      <c r="C63" s="216" t="s">
        <v>214</v>
      </c>
      <c r="D63" s="217">
        <v>4.0955851851851852</v>
      </c>
      <c r="E63" s="189">
        <v>0.05</v>
      </c>
      <c r="F63" s="188">
        <f t="shared" si="31"/>
        <v>4.3003644444444449</v>
      </c>
      <c r="G63" s="190" t="s">
        <v>22</v>
      </c>
      <c r="H63" s="191">
        <v>0</v>
      </c>
      <c r="I63" s="192">
        <f t="shared" si="27"/>
        <v>0</v>
      </c>
      <c r="J63" s="193">
        <v>0</v>
      </c>
      <c r="K63" s="194">
        <f t="shared" si="28"/>
        <v>0</v>
      </c>
      <c r="L63" s="195">
        <v>55</v>
      </c>
      <c r="M63" s="196">
        <f t="shared" si="29"/>
        <v>0</v>
      </c>
      <c r="N63" s="197">
        <f t="shared" si="30"/>
        <v>0</v>
      </c>
      <c r="O63" s="198"/>
      <c r="P63" s="18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</row>
    <row r="64" spans="1:77" s="41" customFormat="1" ht="31.5">
      <c r="A64" s="64">
        <f>IF(F64&lt;&gt;"",1+MAX($A$2:A63),"")</f>
        <v>48</v>
      </c>
      <c r="B64" s="70"/>
      <c r="C64" s="216" t="s">
        <v>215</v>
      </c>
      <c r="D64" s="217">
        <v>10.180494111111111</v>
      </c>
      <c r="E64" s="189">
        <v>0.05</v>
      </c>
      <c r="F64" s="188">
        <f t="shared" si="31"/>
        <v>10.689518816666666</v>
      </c>
      <c r="G64" s="190" t="s">
        <v>22</v>
      </c>
      <c r="H64" s="191">
        <v>0</v>
      </c>
      <c r="I64" s="192">
        <f t="shared" si="27"/>
        <v>0</v>
      </c>
      <c r="J64" s="193">
        <v>0</v>
      </c>
      <c r="K64" s="194">
        <f t="shared" si="28"/>
        <v>0</v>
      </c>
      <c r="L64" s="195">
        <v>55</v>
      </c>
      <c r="M64" s="196">
        <f t="shared" si="29"/>
        <v>0</v>
      </c>
      <c r="N64" s="197">
        <f t="shared" si="30"/>
        <v>0</v>
      </c>
      <c r="O64" s="198"/>
      <c r="P64" s="18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</row>
    <row r="65" spans="1:77" s="41" customFormat="1" ht="31.5">
      <c r="A65" s="64">
        <f>IF(F65&lt;&gt;"",1+MAX($A$2:A64),"")</f>
        <v>49</v>
      </c>
      <c r="B65" s="70"/>
      <c r="C65" s="216" t="s">
        <v>216</v>
      </c>
      <c r="D65" s="217">
        <v>4.9368444444444446</v>
      </c>
      <c r="E65" s="189">
        <v>0.05</v>
      </c>
      <c r="F65" s="188">
        <f t="shared" si="31"/>
        <v>5.1836866666666674</v>
      </c>
      <c r="G65" s="190" t="s">
        <v>22</v>
      </c>
      <c r="H65" s="191">
        <v>0</v>
      </c>
      <c r="I65" s="192">
        <f t="shared" si="27"/>
        <v>0</v>
      </c>
      <c r="J65" s="193">
        <v>0</v>
      </c>
      <c r="K65" s="194">
        <f t="shared" si="28"/>
        <v>0</v>
      </c>
      <c r="L65" s="195">
        <v>55</v>
      </c>
      <c r="M65" s="196">
        <f t="shared" si="29"/>
        <v>0</v>
      </c>
      <c r="N65" s="197">
        <f t="shared" si="30"/>
        <v>0</v>
      </c>
      <c r="O65" s="198"/>
      <c r="P65" s="18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</row>
    <row r="66" spans="1:77" s="41" customFormat="1" ht="31.5">
      <c r="A66" s="64">
        <f>IF(F66&lt;&gt;"",1+MAX($A$2:A65),"")</f>
        <v>50</v>
      </c>
      <c r="B66" s="70"/>
      <c r="C66" s="216" t="s">
        <v>217</v>
      </c>
      <c r="D66" s="217">
        <v>3.571566666666667</v>
      </c>
      <c r="E66" s="189">
        <v>0.05</v>
      </c>
      <c r="F66" s="188">
        <f t="shared" si="31"/>
        <v>3.7501450000000007</v>
      </c>
      <c r="G66" s="190" t="s">
        <v>22</v>
      </c>
      <c r="H66" s="191">
        <v>0</v>
      </c>
      <c r="I66" s="192">
        <f t="shared" si="27"/>
        <v>0</v>
      </c>
      <c r="J66" s="193">
        <v>0</v>
      </c>
      <c r="K66" s="194">
        <f t="shared" si="28"/>
        <v>0</v>
      </c>
      <c r="L66" s="195">
        <v>55</v>
      </c>
      <c r="M66" s="196">
        <f t="shared" si="29"/>
        <v>0</v>
      </c>
      <c r="N66" s="197">
        <f t="shared" si="30"/>
        <v>0</v>
      </c>
      <c r="O66" s="198"/>
      <c r="P66" s="18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</row>
    <row r="67" spans="1:77" s="41" customFormat="1" ht="31.5">
      <c r="A67" s="64">
        <f>IF(F67&lt;&gt;"",1+MAX($A$2:A66),"")</f>
        <v>51</v>
      </c>
      <c r="B67" s="70"/>
      <c r="C67" s="216" t="s">
        <v>218</v>
      </c>
      <c r="D67" s="217">
        <v>12.295444777777778</v>
      </c>
      <c r="E67" s="189">
        <v>0.05</v>
      </c>
      <c r="F67" s="188">
        <f t="shared" si="31"/>
        <v>12.910217016666667</v>
      </c>
      <c r="G67" s="190" t="s">
        <v>22</v>
      </c>
      <c r="H67" s="191">
        <v>0</v>
      </c>
      <c r="I67" s="192">
        <f t="shared" si="27"/>
        <v>0</v>
      </c>
      <c r="J67" s="193">
        <v>0</v>
      </c>
      <c r="K67" s="194">
        <f t="shared" si="28"/>
        <v>0</v>
      </c>
      <c r="L67" s="195">
        <v>55</v>
      </c>
      <c r="M67" s="196">
        <f t="shared" si="29"/>
        <v>0</v>
      </c>
      <c r="N67" s="197">
        <f t="shared" si="30"/>
        <v>0</v>
      </c>
      <c r="O67" s="198"/>
      <c r="P67" s="18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</row>
    <row r="68" spans="1:77" s="41" customFormat="1" ht="31.5">
      <c r="A68" s="64">
        <f>IF(F68&lt;&gt;"",1+MAX($A$2:A67),"")</f>
        <v>52</v>
      </c>
      <c r="B68" s="70"/>
      <c r="C68" s="216" t="s">
        <v>219</v>
      </c>
      <c r="D68" s="217">
        <v>5.9193814814814809</v>
      </c>
      <c r="E68" s="189">
        <v>0.05</v>
      </c>
      <c r="F68" s="188">
        <f t="shared" si="31"/>
        <v>6.2153505555555553</v>
      </c>
      <c r="G68" s="190" t="s">
        <v>22</v>
      </c>
      <c r="H68" s="191">
        <v>0</v>
      </c>
      <c r="I68" s="192">
        <f t="shared" si="27"/>
        <v>0</v>
      </c>
      <c r="J68" s="193">
        <v>0</v>
      </c>
      <c r="K68" s="194">
        <f t="shared" si="28"/>
        <v>0</v>
      </c>
      <c r="L68" s="195">
        <v>55</v>
      </c>
      <c r="M68" s="196">
        <f t="shared" si="29"/>
        <v>0</v>
      </c>
      <c r="N68" s="197">
        <f t="shared" si="30"/>
        <v>0</v>
      </c>
      <c r="O68" s="198"/>
      <c r="P68" s="18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</row>
    <row r="69" spans="1:77" s="41" customFormat="1" ht="31.5">
      <c r="A69" s="64">
        <f>IF(F69&lt;&gt;"",1+MAX($A$2:A68),"")</f>
        <v>53</v>
      </c>
      <c r="B69" s="70"/>
      <c r="C69" s="216" t="s">
        <v>220</v>
      </c>
      <c r="D69" s="217">
        <v>2.6026000000000002</v>
      </c>
      <c r="E69" s="189">
        <v>0.05</v>
      </c>
      <c r="F69" s="188">
        <f t="shared" si="31"/>
        <v>2.7327300000000005</v>
      </c>
      <c r="G69" s="190" t="s">
        <v>22</v>
      </c>
      <c r="H69" s="191">
        <v>0</v>
      </c>
      <c r="I69" s="192">
        <f t="shared" si="27"/>
        <v>0</v>
      </c>
      <c r="J69" s="193">
        <v>0</v>
      </c>
      <c r="K69" s="194">
        <f t="shared" si="28"/>
        <v>0</v>
      </c>
      <c r="L69" s="195">
        <v>55</v>
      </c>
      <c r="M69" s="196">
        <f t="shared" si="29"/>
        <v>0</v>
      </c>
      <c r="N69" s="197">
        <f t="shared" si="30"/>
        <v>0</v>
      </c>
      <c r="O69" s="198"/>
      <c r="P69" s="18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</row>
    <row r="70" spans="1:77" s="41" customFormat="1" ht="31.5">
      <c r="A70" s="64">
        <f>IF(F70&lt;&gt;"",1+MAX($A$2:A69),"")</f>
        <v>54</v>
      </c>
      <c r="B70" s="70"/>
      <c r="C70" s="216" t="s">
        <v>221</v>
      </c>
      <c r="D70" s="217">
        <v>18.907990222222221</v>
      </c>
      <c r="E70" s="189">
        <v>0.05</v>
      </c>
      <c r="F70" s="188">
        <f t="shared" si="31"/>
        <v>19.853389733333334</v>
      </c>
      <c r="G70" s="190" t="s">
        <v>22</v>
      </c>
      <c r="H70" s="191">
        <v>0</v>
      </c>
      <c r="I70" s="192">
        <f t="shared" si="27"/>
        <v>0</v>
      </c>
      <c r="J70" s="193">
        <v>0</v>
      </c>
      <c r="K70" s="194">
        <f t="shared" si="28"/>
        <v>0</v>
      </c>
      <c r="L70" s="195">
        <v>55</v>
      </c>
      <c r="M70" s="196">
        <f t="shared" si="29"/>
        <v>0</v>
      </c>
      <c r="N70" s="197">
        <f t="shared" si="30"/>
        <v>0</v>
      </c>
      <c r="O70" s="198"/>
      <c r="P70" s="18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</row>
    <row r="71" spans="1:77" s="41" customFormat="1" ht="31.5">
      <c r="A71" s="64">
        <f>IF(F71&lt;&gt;"",1+MAX($A$2:A70),"")</f>
        <v>55</v>
      </c>
      <c r="B71" s="70"/>
      <c r="C71" s="216" t="s">
        <v>222</v>
      </c>
      <c r="D71" s="217">
        <v>5.2772222222222229</v>
      </c>
      <c r="E71" s="189">
        <v>0.05</v>
      </c>
      <c r="F71" s="188">
        <f t="shared" si="31"/>
        <v>5.5410833333333347</v>
      </c>
      <c r="G71" s="190" t="s">
        <v>22</v>
      </c>
      <c r="H71" s="191">
        <v>0</v>
      </c>
      <c r="I71" s="192">
        <f t="shared" si="27"/>
        <v>0</v>
      </c>
      <c r="J71" s="193">
        <v>0</v>
      </c>
      <c r="K71" s="194">
        <f t="shared" si="28"/>
        <v>0</v>
      </c>
      <c r="L71" s="195">
        <v>55</v>
      </c>
      <c r="M71" s="196">
        <f t="shared" si="29"/>
        <v>0</v>
      </c>
      <c r="N71" s="197">
        <f t="shared" si="30"/>
        <v>0</v>
      </c>
      <c r="O71" s="198"/>
      <c r="P71" s="18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</row>
    <row r="72" spans="1:77" s="41" customFormat="1" ht="31.5">
      <c r="A72" s="64">
        <f>IF(F72&lt;&gt;"",1+MAX($A$2:A71),"")</f>
        <v>56</v>
      </c>
      <c r="B72" s="70"/>
      <c r="C72" s="216" t="s">
        <v>194</v>
      </c>
      <c r="D72" s="217">
        <v>3.8072222222222218</v>
      </c>
      <c r="E72" s="189">
        <v>0.05</v>
      </c>
      <c r="F72" s="188">
        <f t="shared" si="31"/>
        <v>3.997583333333333</v>
      </c>
      <c r="G72" s="190" t="s">
        <v>22</v>
      </c>
      <c r="H72" s="191">
        <v>0</v>
      </c>
      <c r="I72" s="192">
        <f t="shared" ref="I72:I74" si="32">H72*F72</f>
        <v>0</v>
      </c>
      <c r="J72" s="193">
        <v>0</v>
      </c>
      <c r="K72" s="194">
        <f t="shared" ref="K72:K74" si="33">J72*F72</f>
        <v>0</v>
      </c>
      <c r="L72" s="195">
        <v>55</v>
      </c>
      <c r="M72" s="196">
        <f t="shared" ref="M72:M74" si="34">L72*K72</f>
        <v>0</v>
      </c>
      <c r="N72" s="197">
        <f t="shared" ref="N72:N74" si="35">M72+I72</f>
        <v>0</v>
      </c>
      <c r="O72" s="198"/>
      <c r="P72" s="18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</row>
    <row r="73" spans="1:77" s="41" customFormat="1" ht="31.5">
      <c r="A73" s="64">
        <f>IF(F73&lt;&gt;"",1+MAX($A$2:A72),"")</f>
        <v>57</v>
      </c>
      <c r="B73" s="70"/>
      <c r="C73" s="223" t="s">
        <v>193</v>
      </c>
      <c r="D73" s="217">
        <f>(6.67*2.43*0.667)/27</f>
        <v>0.40040010000000009</v>
      </c>
      <c r="E73" s="189">
        <v>0.05</v>
      </c>
      <c r="F73" s="188">
        <f t="shared" si="31"/>
        <v>0.4204201050000001</v>
      </c>
      <c r="G73" s="190" t="s">
        <v>22</v>
      </c>
      <c r="H73" s="191">
        <v>0</v>
      </c>
      <c r="I73" s="192">
        <f t="shared" si="32"/>
        <v>0</v>
      </c>
      <c r="J73" s="193">
        <v>0</v>
      </c>
      <c r="K73" s="194">
        <f t="shared" si="33"/>
        <v>0</v>
      </c>
      <c r="L73" s="195">
        <v>55</v>
      </c>
      <c r="M73" s="196">
        <f t="shared" si="34"/>
        <v>0</v>
      </c>
      <c r="N73" s="197">
        <f t="shared" si="35"/>
        <v>0</v>
      </c>
      <c r="O73" s="198"/>
      <c r="P73" s="18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</row>
    <row r="74" spans="1:77" s="41" customFormat="1" ht="31.5">
      <c r="A74" s="64">
        <f>IF(F74&lt;&gt;"",1+MAX($A$2:A73),"")</f>
        <v>58</v>
      </c>
      <c r="B74" s="70"/>
      <c r="C74" s="223" t="s">
        <v>223</v>
      </c>
      <c r="D74" s="217">
        <f>(6.66*2.43*0.667)/27</f>
        <v>0.39979980000000004</v>
      </c>
      <c r="E74" s="189">
        <v>0.05</v>
      </c>
      <c r="F74" s="188">
        <f t="shared" si="31"/>
        <v>0.41978979000000005</v>
      </c>
      <c r="G74" s="190" t="s">
        <v>22</v>
      </c>
      <c r="H74" s="191">
        <v>0</v>
      </c>
      <c r="I74" s="192">
        <f t="shared" si="32"/>
        <v>0</v>
      </c>
      <c r="J74" s="193">
        <v>0</v>
      </c>
      <c r="K74" s="194">
        <f t="shared" si="33"/>
        <v>0</v>
      </c>
      <c r="L74" s="195">
        <v>55</v>
      </c>
      <c r="M74" s="196">
        <f t="shared" si="34"/>
        <v>0</v>
      </c>
      <c r="N74" s="197">
        <f t="shared" si="35"/>
        <v>0</v>
      </c>
      <c r="O74" s="198"/>
      <c r="P74" s="18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</row>
    <row r="75" spans="1:77" s="41" customFormat="1" ht="15.75">
      <c r="A75" s="64" t="str">
        <f>IF(F75&lt;&gt;"",1+MAX($A$2:A74),"")</f>
        <v/>
      </c>
      <c r="B75" s="336" t="s">
        <v>199</v>
      </c>
      <c r="C75" s="62" t="s">
        <v>30</v>
      </c>
      <c r="D75" s="57"/>
      <c r="E75" s="45"/>
      <c r="F75" s="57"/>
      <c r="G75" s="58"/>
      <c r="H75" s="44"/>
      <c r="I75" s="46"/>
      <c r="J75" s="46"/>
      <c r="K75" s="46"/>
      <c r="L75" s="59"/>
      <c r="M75" s="60"/>
      <c r="N75" s="61"/>
      <c r="O75" s="17"/>
      <c r="P75" s="18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</row>
    <row r="76" spans="1:77" s="41" customFormat="1" ht="15.75">
      <c r="A76" s="64">
        <f>IF(F76&lt;&gt;"",1+MAX($A$2:A75),"")</f>
        <v>59</v>
      </c>
      <c r="B76" s="313"/>
      <c r="C76" s="216" t="s">
        <v>155</v>
      </c>
      <c r="D76" s="217">
        <f>(43.74*1.33*1.667)/27</f>
        <v>3.5917182000000003</v>
      </c>
      <c r="E76" s="189">
        <v>0.05</v>
      </c>
      <c r="F76" s="188">
        <f t="shared" ref="F76:F80" si="36">(1+E76)*D76</f>
        <v>3.7713041100000004</v>
      </c>
      <c r="G76" s="190" t="s">
        <v>22</v>
      </c>
      <c r="H76" s="191">
        <v>0</v>
      </c>
      <c r="I76" s="192">
        <f t="shared" ref="I76:I89" si="37">H76*F76</f>
        <v>0</v>
      </c>
      <c r="J76" s="193">
        <v>0</v>
      </c>
      <c r="K76" s="194">
        <f t="shared" ref="K76:K89" si="38">J76*F76</f>
        <v>0</v>
      </c>
      <c r="L76" s="195">
        <v>55</v>
      </c>
      <c r="M76" s="196">
        <f t="shared" ref="M76:M89" si="39">L76*K76</f>
        <v>0</v>
      </c>
      <c r="N76" s="197">
        <f t="shared" ref="N76:N89" si="40">M76+I76</f>
        <v>0</v>
      </c>
      <c r="O76" s="198"/>
      <c r="P76" s="18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</row>
    <row r="77" spans="1:77" s="41" customFormat="1" ht="15.75">
      <c r="A77" s="64">
        <f>IF(F77&lt;&gt;"",1+MAX($A$2:A76),"")</f>
        <v>60</v>
      </c>
      <c r="B77" s="313"/>
      <c r="C77" s="216" t="s">
        <v>156</v>
      </c>
      <c r="D77" s="217">
        <f>(21.28*0.75*3.667)/27</f>
        <v>2.1676044444444447</v>
      </c>
      <c r="E77" s="189">
        <v>0.05</v>
      </c>
      <c r="F77" s="188">
        <f t="shared" si="36"/>
        <v>2.275984666666667</v>
      </c>
      <c r="G77" s="190" t="s">
        <v>22</v>
      </c>
      <c r="H77" s="191">
        <v>0</v>
      </c>
      <c r="I77" s="192">
        <f t="shared" si="37"/>
        <v>0</v>
      </c>
      <c r="J77" s="193">
        <v>0</v>
      </c>
      <c r="K77" s="194">
        <f t="shared" si="38"/>
        <v>0</v>
      </c>
      <c r="L77" s="195">
        <v>55</v>
      </c>
      <c r="M77" s="196">
        <f t="shared" si="39"/>
        <v>0</v>
      </c>
      <c r="N77" s="197">
        <f t="shared" si="40"/>
        <v>0</v>
      </c>
      <c r="O77" s="198"/>
      <c r="P77" s="18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</row>
    <row r="78" spans="1:77" s="41" customFormat="1" ht="15.75">
      <c r="A78" s="64">
        <f>IF(F78&lt;&gt;"",1+MAX($A$2:A77),"")</f>
        <v>61</v>
      </c>
      <c r="B78" s="313"/>
      <c r="C78" s="216" t="s">
        <v>157</v>
      </c>
      <c r="D78" s="217">
        <f>(21.91*0.75*3.667)/27</f>
        <v>2.2317769444444444</v>
      </c>
      <c r="E78" s="189">
        <v>0.05</v>
      </c>
      <c r="F78" s="188">
        <f t="shared" si="36"/>
        <v>2.3433657916666668</v>
      </c>
      <c r="G78" s="190" t="s">
        <v>22</v>
      </c>
      <c r="H78" s="191">
        <v>0</v>
      </c>
      <c r="I78" s="192">
        <f t="shared" si="37"/>
        <v>0</v>
      </c>
      <c r="J78" s="193">
        <v>0</v>
      </c>
      <c r="K78" s="194">
        <f t="shared" si="38"/>
        <v>0</v>
      </c>
      <c r="L78" s="195">
        <v>55</v>
      </c>
      <c r="M78" s="196">
        <f t="shared" si="39"/>
        <v>0</v>
      </c>
      <c r="N78" s="197">
        <f t="shared" si="40"/>
        <v>0</v>
      </c>
      <c r="O78" s="198"/>
      <c r="P78" s="18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</row>
    <row r="79" spans="1:77" s="41" customFormat="1" ht="15.75">
      <c r="A79" s="64">
        <f>IF(F79&lt;&gt;"",1+MAX($A$2:A78),"")</f>
        <v>62</v>
      </c>
      <c r="B79" s="313"/>
      <c r="C79" s="216" t="s">
        <v>158</v>
      </c>
      <c r="D79" s="217">
        <v>102.1</v>
      </c>
      <c r="E79" s="189">
        <v>0.05</v>
      </c>
      <c r="F79" s="188">
        <f t="shared" si="36"/>
        <v>107.205</v>
      </c>
      <c r="G79" s="190" t="s">
        <v>22</v>
      </c>
      <c r="H79" s="191">
        <v>0</v>
      </c>
      <c r="I79" s="192">
        <f t="shared" si="37"/>
        <v>0</v>
      </c>
      <c r="J79" s="193">
        <v>0</v>
      </c>
      <c r="K79" s="194">
        <f t="shared" si="38"/>
        <v>0</v>
      </c>
      <c r="L79" s="195">
        <v>55</v>
      </c>
      <c r="M79" s="196">
        <f t="shared" si="39"/>
        <v>0</v>
      </c>
      <c r="N79" s="197">
        <f t="shared" si="40"/>
        <v>0</v>
      </c>
      <c r="O79" s="198"/>
      <c r="P79" s="18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</row>
    <row r="80" spans="1:77" s="41" customFormat="1" ht="15.75">
      <c r="A80" s="64">
        <f>IF(F80&lt;&gt;"",1+MAX($A$2:A79),"")</f>
        <v>63</v>
      </c>
      <c r="B80" s="313"/>
      <c r="C80" s="216" t="s">
        <v>159</v>
      </c>
      <c r="D80" s="217">
        <v>85.9</v>
      </c>
      <c r="E80" s="189">
        <v>0.05</v>
      </c>
      <c r="F80" s="188">
        <f t="shared" si="36"/>
        <v>90.195000000000007</v>
      </c>
      <c r="G80" s="190" t="s">
        <v>22</v>
      </c>
      <c r="H80" s="191">
        <v>0</v>
      </c>
      <c r="I80" s="192">
        <f t="shared" si="37"/>
        <v>0</v>
      </c>
      <c r="J80" s="193">
        <v>0</v>
      </c>
      <c r="K80" s="194">
        <f t="shared" si="38"/>
        <v>0</v>
      </c>
      <c r="L80" s="195">
        <v>55</v>
      </c>
      <c r="M80" s="196">
        <f t="shared" si="39"/>
        <v>0</v>
      </c>
      <c r="N80" s="197">
        <f t="shared" si="40"/>
        <v>0</v>
      </c>
      <c r="O80" s="198"/>
      <c r="P80" s="18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</row>
    <row r="81" spans="1:77" s="41" customFormat="1" ht="15.75">
      <c r="A81" s="64">
        <f>IF(F81&lt;&gt;"",1+MAX($A$2:A80),"")</f>
        <v>64</v>
      </c>
      <c r="B81" s="313"/>
      <c r="C81" s="216" t="s">
        <v>160</v>
      </c>
      <c r="D81" s="217">
        <v>45.6</v>
      </c>
      <c r="E81" s="189">
        <v>0.05</v>
      </c>
      <c r="F81" s="188">
        <f>(1+E81)*D81</f>
        <v>47.88</v>
      </c>
      <c r="G81" s="190" t="s">
        <v>22</v>
      </c>
      <c r="H81" s="191">
        <v>0</v>
      </c>
      <c r="I81" s="192">
        <f t="shared" si="37"/>
        <v>0</v>
      </c>
      <c r="J81" s="193">
        <v>0</v>
      </c>
      <c r="K81" s="194">
        <f t="shared" si="38"/>
        <v>0</v>
      </c>
      <c r="L81" s="195">
        <v>55</v>
      </c>
      <c r="M81" s="196">
        <f t="shared" si="39"/>
        <v>0</v>
      </c>
      <c r="N81" s="197">
        <f t="shared" si="40"/>
        <v>0</v>
      </c>
      <c r="O81" s="198"/>
      <c r="P81" s="18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</row>
    <row r="82" spans="1:77" s="41" customFormat="1" ht="15.75">
      <c r="A82" s="64">
        <f>IF(F82&lt;&gt;"",1+MAX($A$2:A81),"")</f>
        <v>65</v>
      </c>
      <c r="B82" s="313"/>
      <c r="C82" s="223" t="s">
        <v>191</v>
      </c>
      <c r="D82" s="217">
        <f>(10.55*1.33*0.5)/27</f>
        <v>0.25984259259259262</v>
      </c>
      <c r="E82" s="189">
        <v>0.05</v>
      </c>
      <c r="F82" s="188">
        <f t="shared" ref="F82" si="41">(1+E82)*D82</f>
        <v>0.27283472222222227</v>
      </c>
      <c r="G82" s="190" t="s">
        <v>22</v>
      </c>
      <c r="H82" s="191">
        <v>0</v>
      </c>
      <c r="I82" s="192">
        <f t="shared" ref="I82:I85" si="42">H82*F82</f>
        <v>0</v>
      </c>
      <c r="J82" s="193">
        <v>0</v>
      </c>
      <c r="K82" s="194">
        <f t="shared" ref="K82:K85" si="43">J82*F82</f>
        <v>0</v>
      </c>
      <c r="L82" s="195">
        <v>55</v>
      </c>
      <c r="M82" s="196">
        <f t="shared" ref="M82:M85" si="44">L82*K82</f>
        <v>0</v>
      </c>
      <c r="N82" s="197">
        <f t="shared" ref="N82:N85" si="45">M82+I82</f>
        <v>0</v>
      </c>
      <c r="O82" s="198"/>
      <c r="P82" s="18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</row>
    <row r="83" spans="1:77" s="41" customFormat="1" ht="15.75">
      <c r="A83" s="64">
        <f>IF(F83&lt;&gt;"",1+MAX($A$2:A82),"")</f>
        <v>66</v>
      </c>
      <c r="B83" s="313"/>
      <c r="C83" s="216" t="s">
        <v>161</v>
      </c>
      <c r="D83" s="217">
        <f>(15.69*1*1.5)/27</f>
        <v>0.8716666666666667</v>
      </c>
      <c r="E83" s="189">
        <v>0.05</v>
      </c>
      <c r="F83" s="188">
        <f>(1+E83)*D83</f>
        <v>0.91525000000000012</v>
      </c>
      <c r="G83" s="190" t="s">
        <v>22</v>
      </c>
      <c r="H83" s="191">
        <v>0</v>
      </c>
      <c r="I83" s="192">
        <f t="shared" si="42"/>
        <v>0</v>
      </c>
      <c r="J83" s="193">
        <v>0</v>
      </c>
      <c r="K83" s="194">
        <f t="shared" si="43"/>
        <v>0</v>
      </c>
      <c r="L83" s="195">
        <v>55</v>
      </c>
      <c r="M83" s="196">
        <f t="shared" si="44"/>
        <v>0</v>
      </c>
      <c r="N83" s="197">
        <f t="shared" si="45"/>
        <v>0</v>
      </c>
      <c r="O83" s="198"/>
      <c r="P83" s="18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</row>
    <row r="84" spans="1:77" s="41" customFormat="1" ht="15.75">
      <c r="A84" s="64">
        <f>IF(F84&lt;&gt;"",1+MAX($A$2:A83),"")</f>
        <v>67</v>
      </c>
      <c r="B84" s="313"/>
      <c r="C84" s="216" t="s">
        <v>162</v>
      </c>
      <c r="D84" s="217">
        <f>(27.5*0.83*1.5)/27</f>
        <v>1.2680555555555555</v>
      </c>
      <c r="E84" s="189">
        <v>0.05</v>
      </c>
      <c r="F84" s="188">
        <f t="shared" ref="F84:F85" si="46">(1+E84)*D84</f>
        <v>1.3314583333333334</v>
      </c>
      <c r="G84" s="190" t="s">
        <v>22</v>
      </c>
      <c r="H84" s="191">
        <v>0</v>
      </c>
      <c r="I84" s="192">
        <f t="shared" si="42"/>
        <v>0</v>
      </c>
      <c r="J84" s="193">
        <v>0</v>
      </c>
      <c r="K84" s="194">
        <f t="shared" si="43"/>
        <v>0</v>
      </c>
      <c r="L84" s="195">
        <v>55</v>
      </c>
      <c r="M84" s="196">
        <f t="shared" si="44"/>
        <v>0</v>
      </c>
      <c r="N84" s="197">
        <f t="shared" si="45"/>
        <v>0</v>
      </c>
      <c r="O84" s="198"/>
      <c r="P84" s="18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</row>
    <row r="85" spans="1:77" s="41" customFormat="1" ht="15.75">
      <c r="A85" s="64">
        <f>IF(F85&lt;&gt;"",1+MAX($A$2:A84),"")</f>
        <v>68</v>
      </c>
      <c r="B85" s="313"/>
      <c r="C85" s="216" t="s">
        <v>163</v>
      </c>
      <c r="D85" s="217">
        <f>(6.25*1*1.5)/27</f>
        <v>0.34722222222222221</v>
      </c>
      <c r="E85" s="189">
        <v>0.05</v>
      </c>
      <c r="F85" s="188">
        <f t="shared" si="46"/>
        <v>0.36458333333333331</v>
      </c>
      <c r="G85" s="190" t="s">
        <v>22</v>
      </c>
      <c r="H85" s="191">
        <v>0</v>
      </c>
      <c r="I85" s="192">
        <f t="shared" si="42"/>
        <v>0</v>
      </c>
      <c r="J85" s="193">
        <v>0</v>
      </c>
      <c r="K85" s="194">
        <f t="shared" si="43"/>
        <v>0</v>
      </c>
      <c r="L85" s="195">
        <v>55</v>
      </c>
      <c r="M85" s="196">
        <f t="shared" si="44"/>
        <v>0</v>
      </c>
      <c r="N85" s="197">
        <f t="shared" si="45"/>
        <v>0</v>
      </c>
      <c r="O85" s="198"/>
      <c r="P85" s="18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</row>
    <row r="86" spans="1:77" s="41" customFormat="1" ht="15.75">
      <c r="A86" s="64">
        <f>IF(F86&lt;&gt;"",1+MAX($A$2:A85),"")</f>
        <v>69</v>
      </c>
      <c r="B86" s="313"/>
      <c r="C86" s="216" t="s">
        <v>164</v>
      </c>
      <c r="D86" s="217">
        <f>(8.47*1*1.5)/27</f>
        <v>0.47055555555555562</v>
      </c>
      <c r="E86" s="189">
        <v>0.05</v>
      </c>
      <c r="F86" s="188">
        <f t="shared" ref="F86:F89" si="47">(1+E86)*D86</f>
        <v>0.49408333333333343</v>
      </c>
      <c r="G86" s="190" t="s">
        <v>22</v>
      </c>
      <c r="H86" s="191">
        <v>0</v>
      </c>
      <c r="I86" s="192">
        <f t="shared" si="37"/>
        <v>0</v>
      </c>
      <c r="J86" s="193">
        <v>0</v>
      </c>
      <c r="K86" s="194">
        <f t="shared" si="38"/>
        <v>0</v>
      </c>
      <c r="L86" s="195">
        <v>55</v>
      </c>
      <c r="M86" s="196">
        <f t="shared" si="39"/>
        <v>0</v>
      </c>
      <c r="N86" s="197">
        <f t="shared" si="40"/>
        <v>0</v>
      </c>
      <c r="O86" s="198"/>
      <c r="P86" s="18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</row>
    <row r="87" spans="1:77" s="41" customFormat="1" ht="15.75">
      <c r="A87" s="64">
        <f>IF(F87&lt;&gt;"",1+MAX($A$2:A86),"")</f>
        <v>70</v>
      </c>
      <c r="B87" s="313"/>
      <c r="C87" s="216" t="s">
        <v>165</v>
      </c>
      <c r="D87" s="217">
        <f>(13.8*1*1.5)/27</f>
        <v>0.76666666666666672</v>
      </c>
      <c r="E87" s="189">
        <v>0.05</v>
      </c>
      <c r="F87" s="188">
        <f t="shared" si="47"/>
        <v>0.80500000000000005</v>
      </c>
      <c r="G87" s="190" t="s">
        <v>22</v>
      </c>
      <c r="H87" s="191">
        <v>0</v>
      </c>
      <c r="I87" s="192">
        <f t="shared" si="37"/>
        <v>0</v>
      </c>
      <c r="J87" s="193">
        <v>0</v>
      </c>
      <c r="K87" s="194">
        <f t="shared" si="38"/>
        <v>0</v>
      </c>
      <c r="L87" s="195">
        <v>55</v>
      </c>
      <c r="M87" s="196">
        <f t="shared" si="39"/>
        <v>0</v>
      </c>
      <c r="N87" s="197">
        <f t="shared" si="40"/>
        <v>0</v>
      </c>
      <c r="O87" s="198"/>
      <c r="P87" s="18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</row>
    <row r="88" spans="1:77" s="41" customFormat="1" ht="15.75">
      <c r="A88" s="64">
        <f>IF(F88&lt;&gt;"",1+MAX($A$2:A87),"")</f>
        <v>71</v>
      </c>
      <c r="B88" s="313"/>
      <c r="C88" s="216" t="s">
        <v>166</v>
      </c>
      <c r="D88" s="217">
        <f>(23.69*1*1.5)/27</f>
        <v>1.3161111111111112</v>
      </c>
      <c r="E88" s="189">
        <v>0.05</v>
      </c>
      <c r="F88" s="188">
        <f t="shared" si="47"/>
        <v>1.3819166666666669</v>
      </c>
      <c r="G88" s="190" t="s">
        <v>22</v>
      </c>
      <c r="H88" s="191">
        <v>0</v>
      </c>
      <c r="I88" s="192">
        <f t="shared" si="37"/>
        <v>0</v>
      </c>
      <c r="J88" s="193">
        <v>0</v>
      </c>
      <c r="K88" s="194">
        <f t="shared" si="38"/>
        <v>0</v>
      </c>
      <c r="L88" s="195">
        <v>55</v>
      </c>
      <c r="M88" s="196">
        <f t="shared" si="39"/>
        <v>0</v>
      </c>
      <c r="N88" s="197">
        <f t="shared" si="40"/>
        <v>0</v>
      </c>
      <c r="O88" s="198"/>
      <c r="P88" s="18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</row>
    <row r="89" spans="1:77" s="41" customFormat="1" ht="15.75">
      <c r="A89" s="64">
        <f>IF(F89&lt;&gt;"",1+MAX($A$2:A88),"")</f>
        <v>72</v>
      </c>
      <c r="B89" s="313"/>
      <c r="C89" s="216" t="s">
        <v>167</v>
      </c>
      <c r="D89" s="217">
        <f>(23.77*1*1.5)/27</f>
        <v>1.3205555555555557</v>
      </c>
      <c r="E89" s="189">
        <v>0.05</v>
      </c>
      <c r="F89" s="188">
        <f t="shared" si="47"/>
        <v>1.3865833333333335</v>
      </c>
      <c r="G89" s="190" t="s">
        <v>22</v>
      </c>
      <c r="H89" s="191">
        <v>0</v>
      </c>
      <c r="I89" s="192">
        <f t="shared" si="37"/>
        <v>0</v>
      </c>
      <c r="J89" s="193">
        <v>0</v>
      </c>
      <c r="K89" s="194">
        <f t="shared" si="38"/>
        <v>0</v>
      </c>
      <c r="L89" s="195">
        <v>55</v>
      </c>
      <c r="M89" s="196">
        <f t="shared" si="39"/>
        <v>0</v>
      </c>
      <c r="N89" s="197">
        <f t="shared" si="40"/>
        <v>0</v>
      </c>
      <c r="O89" s="198"/>
      <c r="P89" s="18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</row>
    <row r="90" spans="1:77" s="41" customFormat="1" ht="15.75">
      <c r="A90" s="64" t="str">
        <f>IF(F90&lt;&gt;"",1+MAX($A$2:A89),"")</f>
        <v/>
      </c>
      <c r="B90" s="341" t="s">
        <v>154</v>
      </c>
      <c r="C90" s="62" t="s">
        <v>55</v>
      </c>
      <c r="D90" s="57"/>
      <c r="E90" s="45"/>
      <c r="F90" s="57"/>
      <c r="G90" s="58"/>
      <c r="H90" s="44"/>
      <c r="I90" s="46"/>
      <c r="J90" s="72"/>
      <c r="K90" s="73"/>
      <c r="L90" s="65"/>
      <c r="M90" s="74"/>
      <c r="N90" s="61"/>
      <c r="O90" s="17"/>
      <c r="P90" s="18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</row>
    <row r="91" spans="1:77" s="41" customFormat="1" ht="47.25">
      <c r="A91" s="64">
        <f>IF(F91&lt;&gt;"",1+MAX($A$2:A90),"")</f>
        <v>73</v>
      </c>
      <c r="B91" s="313"/>
      <c r="C91" s="63" t="s">
        <v>106</v>
      </c>
      <c r="D91" s="57">
        <f>1.5*1.33*93.58/27</f>
        <v>6.9145222222222227</v>
      </c>
      <c r="E91" s="45">
        <v>0.05</v>
      </c>
      <c r="F91" s="57">
        <f t="shared" ref="F91:F133" si="48">(1+E91)*D91</f>
        <v>7.2602483333333341</v>
      </c>
      <c r="G91" s="58" t="s">
        <v>22</v>
      </c>
      <c r="H91" s="44">
        <v>0</v>
      </c>
      <c r="I91" s="46">
        <f t="shared" ref="I91:I94" si="49">H91*F91</f>
        <v>0</v>
      </c>
      <c r="J91" s="72">
        <v>0</v>
      </c>
      <c r="K91" s="73">
        <f t="shared" ref="K91:K94" si="50">J91*F91</f>
        <v>0</v>
      </c>
      <c r="L91" s="65">
        <v>55</v>
      </c>
      <c r="M91" s="74">
        <f t="shared" ref="M91:M94" si="51">L91*K91</f>
        <v>0</v>
      </c>
      <c r="N91" s="61">
        <f t="shared" ref="N91:N94" si="52">M91+I91</f>
        <v>0</v>
      </c>
      <c r="O91" s="17"/>
      <c r="P91" s="18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</row>
    <row r="92" spans="1:77" s="41" customFormat="1" ht="47.25">
      <c r="A92" s="64">
        <f>IF(F92&lt;&gt;"",1+MAX($A$2:A91),"")</f>
        <v>74</v>
      </c>
      <c r="B92" s="313"/>
      <c r="C92" s="63" t="s">
        <v>107</v>
      </c>
      <c r="D92" s="57">
        <f>55.33*1.5*1.33/27</f>
        <v>4.0882722222222228</v>
      </c>
      <c r="E92" s="45">
        <v>0.05</v>
      </c>
      <c r="F92" s="57">
        <f t="shared" si="48"/>
        <v>4.2926858333333344</v>
      </c>
      <c r="G92" s="58" t="s">
        <v>22</v>
      </c>
      <c r="H92" s="44">
        <v>0</v>
      </c>
      <c r="I92" s="46">
        <f t="shared" si="49"/>
        <v>0</v>
      </c>
      <c r="J92" s="72">
        <v>0</v>
      </c>
      <c r="K92" s="73">
        <f t="shared" si="50"/>
        <v>0</v>
      </c>
      <c r="L92" s="65">
        <v>55</v>
      </c>
      <c r="M92" s="74">
        <f t="shared" si="51"/>
        <v>0</v>
      </c>
      <c r="N92" s="61">
        <f t="shared" si="52"/>
        <v>0</v>
      </c>
      <c r="O92" s="17"/>
      <c r="P92" s="18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</row>
    <row r="93" spans="1:77" s="41" customFormat="1" ht="47.25">
      <c r="A93" s="64">
        <f>IF(F93&lt;&gt;"",1+MAX($A$2:A92),"")</f>
        <v>75</v>
      </c>
      <c r="B93" s="313"/>
      <c r="C93" s="63" t="s">
        <v>108</v>
      </c>
      <c r="D93" s="57">
        <f>62.58*1.5*1.33/27</f>
        <v>4.623966666666667</v>
      </c>
      <c r="E93" s="45">
        <v>0.05</v>
      </c>
      <c r="F93" s="57">
        <f t="shared" si="48"/>
        <v>4.8551650000000004</v>
      </c>
      <c r="G93" s="58" t="s">
        <v>22</v>
      </c>
      <c r="H93" s="44">
        <v>0</v>
      </c>
      <c r="I93" s="46">
        <f t="shared" si="49"/>
        <v>0</v>
      </c>
      <c r="J93" s="72">
        <v>0</v>
      </c>
      <c r="K93" s="73">
        <f t="shared" si="50"/>
        <v>0</v>
      </c>
      <c r="L93" s="65">
        <v>55</v>
      </c>
      <c r="M93" s="74">
        <f t="shared" si="51"/>
        <v>0</v>
      </c>
      <c r="N93" s="61">
        <f t="shared" si="52"/>
        <v>0</v>
      </c>
      <c r="O93" s="17"/>
      <c r="P93" s="18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</row>
    <row r="94" spans="1:77" s="41" customFormat="1" ht="47.25">
      <c r="A94" s="64">
        <f>IF(F94&lt;&gt;"",1+MAX($A$2:A93),"")</f>
        <v>76</v>
      </c>
      <c r="B94" s="313"/>
      <c r="C94" s="63" t="s">
        <v>109</v>
      </c>
      <c r="D94" s="57">
        <f>41.83*1.5*1.33/27</f>
        <v>3.0907722222222223</v>
      </c>
      <c r="E94" s="45">
        <v>0.05</v>
      </c>
      <c r="F94" s="57">
        <f t="shared" si="48"/>
        <v>3.2453108333333334</v>
      </c>
      <c r="G94" s="58" t="s">
        <v>22</v>
      </c>
      <c r="H94" s="44">
        <v>0</v>
      </c>
      <c r="I94" s="46">
        <f t="shared" si="49"/>
        <v>0</v>
      </c>
      <c r="J94" s="72">
        <v>0</v>
      </c>
      <c r="K94" s="73">
        <f t="shared" si="50"/>
        <v>0</v>
      </c>
      <c r="L94" s="65">
        <v>55</v>
      </c>
      <c r="M94" s="74">
        <f t="shared" si="51"/>
        <v>0</v>
      </c>
      <c r="N94" s="61">
        <f t="shared" si="52"/>
        <v>0</v>
      </c>
      <c r="O94" s="17"/>
      <c r="P94" s="18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</row>
    <row r="95" spans="1:77" s="41" customFormat="1" ht="47.25">
      <c r="A95" s="64">
        <f>IF(F95&lt;&gt;"",1+MAX($A$2:A94),"")</f>
        <v>77</v>
      </c>
      <c r="B95" s="313"/>
      <c r="C95" s="63" t="s">
        <v>110</v>
      </c>
      <c r="D95" s="57">
        <f>44.5*1.5*1.33/27</f>
        <v>3.2880555555555557</v>
      </c>
      <c r="E95" s="45">
        <v>0.05</v>
      </c>
      <c r="F95" s="57">
        <f t="shared" si="48"/>
        <v>3.4524583333333339</v>
      </c>
      <c r="G95" s="58" t="s">
        <v>22</v>
      </c>
      <c r="H95" s="44">
        <v>0</v>
      </c>
      <c r="I95" s="46">
        <f t="shared" ref="I95:I118" si="53">H95*F95</f>
        <v>0</v>
      </c>
      <c r="J95" s="72">
        <v>0</v>
      </c>
      <c r="K95" s="73">
        <f t="shared" ref="K95:K118" si="54">J95*F95</f>
        <v>0</v>
      </c>
      <c r="L95" s="65">
        <v>55</v>
      </c>
      <c r="M95" s="74">
        <f t="shared" ref="M95:M118" si="55">L95*K95</f>
        <v>0</v>
      </c>
      <c r="N95" s="61">
        <f t="shared" ref="N95:N118" si="56">M95+I95</f>
        <v>0</v>
      </c>
      <c r="O95" s="17"/>
      <c r="P95" s="18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</row>
    <row r="96" spans="1:77" s="41" customFormat="1" ht="47.25">
      <c r="A96" s="64">
        <f>IF(F96&lt;&gt;"",1+MAX($A$2:A95),"")</f>
        <v>78</v>
      </c>
      <c r="B96" s="313"/>
      <c r="C96" s="63" t="s">
        <v>111</v>
      </c>
      <c r="D96" s="57">
        <f>104.41*1.5*1.33/27</f>
        <v>7.7147388888888893</v>
      </c>
      <c r="E96" s="45">
        <v>0.05</v>
      </c>
      <c r="F96" s="57">
        <f t="shared" si="48"/>
        <v>8.1004758333333342</v>
      </c>
      <c r="G96" s="58" t="s">
        <v>22</v>
      </c>
      <c r="H96" s="44">
        <v>0</v>
      </c>
      <c r="I96" s="46">
        <f t="shared" si="53"/>
        <v>0</v>
      </c>
      <c r="J96" s="72">
        <v>0</v>
      </c>
      <c r="K96" s="73">
        <f t="shared" si="54"/>
        <v>0</v>
      </c>
      <c r="L96" s="65">
        <v>55</v>
      </c>
      <c r="M96" s="74">
        <f t="shared" si="55"/>
        <v>0</v>
      </c>
      <c r="N96" s="61">
        <f t="shared" si="56"/>
        <v>0</v>
      </c>
      <c r="O96" s="17"/>
      <c r="P96" s="18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</row>
    <row r="97" spans="1:75" s="41" customFormat="1" ht="47.25">
      <c r="A97" s="64">
        <f>IF(F97&lt;&gt;"",1+MAX($A$2:A96),"")</f>
        <v>79</v>
      </c>
      <c r="B97" s="313"/>
      <c r="C97" s="63" t="s">
        <v>112</v>
      </c>
      <c r="D97" s="57">
        <f>67*1.5*1.33/27</f>
        <v>4.9505555555555567</v>
      </c>
      <c r="E97" s="45">
        <v>0.05</v>
      </c>
      <c r="F97" s="57">
        <f t="shared" si="48"/>
        <v>5.1980833333333347</v>
      </c>
      <c r="G97" s="58" t="s">
        <v>22</v>
      </c>
      <c r="H97" s="44">
        <v>0</v>
      </c>
      <c r="I97" s="46">
        <f t="shared" si="53"/>
        <v>0</v>
      </c>
      <c r="J97" s="72">
        <v>0</v>
      </c>
      <c r="K97" s="73">
        <f t="shared" si="54"/>
        <v>0</v>
      </c>
      <c r="L97" s="65">
        <v>55</v>
      </c>
      <c r="M97" s="74">
        <f t="shared" si="55"/>
        <v>0</v>
      </c>
      <c r="N97" s="61">
        <f t="shared" si="56"/>
        <v>0</v>
      </c>
      <c r="O97" s="17"/>
      <c r="P97" s="18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</row>
    <row r="98" spans="1:75" s="41" customFormat="1" ht="47.25">
      <c r="A98" s="64">
        <f>IF(F98&lt;&gt;"",1+MAX($A$2:A97),"")</f>
        <v>80</v>
      </c>
      <c r="B98" s="313"/>
      <c r="C98" s="63" t="s">
        <v>113</v>
      </c>
      <c r="D98" s="57">
        <f>41.9*1.5*1.33/27</f>
        <v>3.0959444444444442</v>
      </c>
      <c r="E98" s="45">
        <v>0.05</v>
      </c>
      <c r="F98" s="57">
        <f t="shared" si="48"/>
        <v>3.2507416666666664</v>
      </c>
      <c r="G98" s="58" t="s">
        <v>22</v>
      </c>
      <c r="H98" s="44">
        <v>0</v>
      </c>
      <c r="I98" s="46">
        <f t="shared" si="53"/>
        <v>0</v>
      </c>
      <c r="J98" s="72">
        <v>0</v>
      </c>
      <c r="K98" s="73">
        <f t="shared" si="54"/>
        <v>0</v>
      </c>
      <c r="L98" s="65">
        <v>55</v>
      </c>
      <c r="M98" s="74">
        <f t="shared" si="55"/>
        <v>0</v>
      </c>
      <c r="N98" s="61">
        <f t="shared" si="56"/>
        <v>0</v>
      </c>
      <c r="O98" s="17"/>
      <c r="P98" s="18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</row>
    <row r="99" spans="1:75" s="41" customFormat="1" ht="47.25">
      <c r="A99" s="64">
        <f>IF(F99&lt;&gt;"",1+MAX($A$2:A98),"")</f>
        <v>81</v>
      </c>
      <c r="B99" s="313"/>
      <c r="C99" s="63" t="s">
        <v>114</v>
      </c>
      <c r="D99" s="57">
        <f>142*1.5*1.33/27</f>
        <v>10.492222222222223</v>
      </c>
      <c r="E99" s="45">
        <v>0.05</v>
      </c>
      <c r="F99" s="57">
        <f t="shared" si="48"/>
        <v>11.016833333333334</v>
      </c>
      <c r="G99" s="58" t="s">
        <v>22</v>
      </c>
      <c r="H99" s="44">
        <v>0</v>
      </c>
      <c r="I99" s="46">
        <f t="shared" si="53"/>
        <v>0</v>
      </c>
      <c r="J99" s="72">
        <v>0</v>
      </c>
      <c r="K99" s="73">
        <f t="shared" si="54"/>
        <v>0</v>
      </c>
      <c r="L99" s="65">
        <v>55</v>
      </c>
      <c r="M99" s="74">
        <f t="shared" si="55"/>
        <v>0</v>
      </c>
      <c r="N99" s="61">
        <f t="shared" si="56"/>
        <v>0</v>
      </c>
      <c r="O99" s="17"/>
      <c r="P99" s="18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</row>
    <row r="100" spans="1:75" s="41" customFormat="1" ht="47.25">
      <c r="A100" s="64">
        <f>IF(F100&lt;&gt;"",1+MAX($A$2:A99),"")</f>
        <v>82</v>
      </c>
      <c r="B100" s="313"/>
      <c r="C100" s="63" t="s">
        <v>115</v>
      </c>
      <c r="D100" s="57">
        <f>10.91*0.83*4/27</f>
        <v>1.3415259259259258</v>
      </c>
      <c r="E100" s="45">
        <v>0.05</v>
      </c>
      <c r="F100" s="57">
        <f t="shared" si="48"/>
        <v>1.4086022222222221</v>
      </c>
      <c r="G100" s="58" t="s">
        <v>22</v>
      </c>
      <c r="H100" s="44">
        <v>0</v>
      </c>
      <c r="I100" s="46">
        <f t="shared" si="53"/>
        <v>0</v>
      </c>
      <c r="J100" s="72">
        <v>0</v>
      </c>
      <c r="K100" s="73">
        <f t="shared" si="54"/>
        <v>0</v>
      </c>
      <c r="L100" s="65">
        <v>55</v>
      </c>
      <c r="M100" s="74">
        <f t="shared" si="55"/>
        <v>0</v>
      </c>
      <c r="N100" s="61">
        <f t="shared" si="56"/>
        <v>0</v>
      </c>
      <c r="O100" s="17"/>
      <c r="P100" s="18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</row>
    <row r="101" spans="1:75" s="41" customFormat="1" ht="47.25">
      <c r="A101" s="64">
        <f>IF(F101&lt;&gt;"",1+MAX($A$2:A100),"")</f>
        <v>83</v>
      </c>
      <c r="B101" s="313"/>
      <c r="C101" s="63" t="s">
        <v>116</v>
      </c>
      <c r="D101" s="57">
        <f>31*0.83*3.33/27</f>
        <v>3.1733666666666669</v>
      </c>
      <c r="E101" s="45">
        <v>0.05</v>
      </c>
      <c r="F101" s="57">
        <f t="shared" si="48"/>
        <v>3.3320350000000003</v>
      </c>
      <c r="G101" s="58" t="s">
        <v>22</v>
      </c>
      <c r="H101" s="44">
        <v>0</v>
      </c>
      <c r="I101" s="46">
        <f t="shared" si="53"/>
        <v>0</v>
      </c>
      <c r="J101" s="72">
        <v>0</v>
      </c>
      <c r="K101" s="73">
        <f t="shared" si="54"/>
        <v>0</v>
      </c>
      <c r="L101" s="65">
        <v>55</v>
      </c>
      <c r="M101" s="74">
        <f t="shared" si="55"/>
        <v>0</v>
      </c>
      <c r="N101" s="61">
        <f t="shared" si="56"/>
        <v>0</v>
      </c>
      <c r="O101" s="17"/>
      <c r="P101" s="18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</row>
    <row r="102" spans="1:75" s="41" customFormat="1" ht="47.25">
      <c r="A102" s="64">
        <f>IF(F102&lt;&gt;"",1+MAX($A$2:A101),"")</f>
        <v>84</v>
      </c>
      <c r="B102" s="313"/>
      <c r="C102" s="63" t="s">
        <v>117</v>
      </c>
      <c r="D102" s="57">
        <f>51.7*0.83*2.67/27</f>
        <v>4.2434211111111111</v>
      </c>
      <c r="E102" s="45">
        <v>0.05</v>
      </c>
      <c r="F102" s="57">
        <f t="shared" si="48"/>
        <v>4.4555921666666665</v>
      </c>
      <c r="G102" s="58" t="s">
        <v>22</v>
      </c>
      <c r="H102" s="44">
        <v>0</v>
      </c>
      <c r="I102" s="46">
        <f t="shared" si="53"/>
        <v>0</v>
      </c>
      <c r="J102" s="72">
        <v>0</v>
      </c>
      <c r="K102" s="73">
        <f t="shared" si="54"/>
        <v>0</v>
      </c>
      <c r="L102" s="65">
        <v>55</v>
      </c>
      <c r="M102" s="74">
        <f t="shared" si="55"/>
        <v>0</v>
      </c>
      <c r="N102" s="61">
        <f t="shared" si="56"/>
        <v>0</v>
      </c>
      <c r="O102" s="17"/>
      <c r="P102" s="18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</row>
    <row r="103" spans="1:75" s="41" customFormat="1" ht="47.25">
      <c r="A103" s="64">
        <f>IF(F103&lt;&gt;"",1+MAX($A$2:A102),"")</f>
        <v>85</v>
      </c>
      <c r="B103" s="313"/>
      <c r="C103" s="63" t="s">
        <v>118</v>
      </c>
      <c r="D103" s="57">
        <f>43.3*0.83*2/27</f>
        <v>2.6621481481481477</v>
      </c>
      <c r="E103" s="45">
        <v>0.05</v>
      </c>
      <c r="F103" s="57">
        <f t="shared" si="48"/>
        <v>2.7952555555555554</v>
      </c>
      <c r="G103" s="58" t="s">
        <v>22</v>
      </c>
      <c r="H103" s="44">
        <v>0</v>
      </c>
      <c r="I103" s="46">
        <f t="shared" ref="I103:I107" si="57">H103*F103</f>
        <v>0</v>
      </c>
      <c r="J103" s="72">
        <v>0</v>
      </c>
      <c r="K103" s="73">
        <f t="shared" ref="K103:K107" si="58">J103*F103</f>
        <v>0</v>
      </c>
      <c r="L103" s="65">
        <v>55</v>
      </c>
      <c r="M103" s="74">
        <f t="shared" ref="M103:M107" si="59">L103*K103</f>
        <v>0</v>
      </c>
      <c r="N103" s="61">
        <f t="shared" ref="N103:N107" si="60">M103+I103</f>
        <v>0</v>
      </c>
      <c r="O103" s="17"/>
      <c r="P103" s="18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</row>
    <row r="104" spans="1:75" s="41" customFormat="1" ht="47.25">
      <c r="A104" s="64">
        <f>IF(F104&lt;&gt;"",1+MAX($A$2:A103),"")</f>
        <v>86</v>
      </c>
      <c r="B104" s="313"/>
      <c r="C104" s="63" t="s">
        <v>119</v>
      </c>
      <c r="D104" s="57">
        <f>57.5*0.83*2/27</f>
        <v>3.5351851851851848</v>
      </c>
      <c r="E104" s="45">
        <v>0.05</v>
      </c>
      <c r="F104" s="57">
        <f t="shared" si="48"/>
        <v>3.7119444444444443</v>
      </c>
      <c r="G104" s="58" t="s">
        <v>22</v>
      </c>
      <c r="H104" s="44">
        <v>0</v>
      </c>
      <c r="I104" s="46">
        <f t="shared" si="57"/>
        <v>0</v>
      </c>
      <c r="J104" s="72">
        <v>0</v>
      </c>
      <c r="K104" s="73">
        <f t="shared" si="58"/>
        <v>0</v>
      </c>
      <c r="L104" s="65">
        <v>55</v>
      </c>
      <c r="M104" s="74">
        <f t="shared" si="59"/>
        <v>0</v>
      </c>
      <c r="N104" s="61">
        <f t="shared" si="60"/>
        <v>0</v>
      </c>
      <c r="O104" s="17"/>
      <c r="P104" s="18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</row>
    <row r="105" spans="1:75" s="41" customFormat="1" ht="47.25">
      <c r="A105" s="64">
        <f>IF(F105&lt;&gt;"",1+MAX($A$2:A104),"")</f>
        <v>87</v>
      </c>
      <c r="B105" s="313"/>
      <c r="C105" s="63" t="s">
        <v>120</v>
      </c>
      <c r="D105" s="57">
        <f>10.91*1*2.5/27</f>
        <v>1.0101851851851851</v>
      </c>
      <c r="E105" s="45">
        <v>0.05</v>
      </c>
      <c r="F105" s="57">
        <f t="shared" si="48"/>
        <v>1.0606944444444444</v>
      </c>
      <c r="G105" s="58" t="s">
        <v>22</v>
      </c>
      <c r="H105" s="44">
        <v>0</v>
      </c>
      <c r="I105" s="46">
        <f t="shared" si="57"/>
        <v>0</v>
      </c>
      <c r="J105" s="72">
        <v>0</v>
      </c>
      <c r="K105" s="73">
        <f t="shared" si="58"/>
        <v>0</v>
      </c>
      <c r="L105" s="65">
        <v>55</v>
      </c>
      <c r="M105" s="74">
        <f t="shared" si="59"/>
        <v>0</v>
      </c>
      <c r="N105" s="61">
        <f t="shared" si="60"/>
        <v>0</v>
      </c>
      <c r="O105" s="17"/>
      <c r="P105" s="18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</row>
    <row r="106" spans="1:75" s="41" customFormat="1" ht="47.25">
      <c r="A106" s="64">
        <f>IF(F106&lt;&gt;"",1+MAX($A$2:A105),"")</f>
        <v>88</v>
      </c>
      <c r="B106" s="313"/>
      <c r="C106" s="63" t="s">
        <v>121</v>
      </c>
      <c r="D106" s="57">
        <f>10.33*1*2.75/27</f>
        <v>1.0521296296296296</v>
      </c>
      <c r="E106" s="45">
        <v>0.05</v>
      </c>
      <c r="F106" s="57">
        <f t="shared" si="48"/>
        <v>1.1047361111111111</v>
      </c>
      <c r="G106" s="58" t="s">
        <v>22</v>
      </c>
      <c r="H106" s="44">
        <v>0</v>
      </c>
      <c r="I106" s="46">
        <f t="shared" si="57"/>
        <v>0</v>
      </c>
      <c r="J106" s="72">
        <v>0</v>
      </c>
      <c r="K106" s="73">
        <f t="shared" si="58"/>
        <v>0</v>
      </c>
      <c r="L106" s="65">
        <v>55</v>
      </c>
      <c r="M106" s="74">
        <f t="shared" si="59"/>
        <v>0</v>
      </c>
      <c r="N106" s="61">
        <f t="shared" si="60"/>
        <v>0</v>
      </c>
      <c r="O106" s="17"/>
      <c r="P106" s="18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</row>
    <row r="107" spans="1:75" s="41" customFormat="1" ht="47.25">
      <c r="A107" s="64">
        <f>IF(F107&lt;&gt;"",1+MAX($A$2:A106),"")</f>
        <v>89</v>
      </c>
      <c r="B107" s="313"/>
      <c r="C107" s="63" t="s">
        <v>122</v>
      </c>
      <c r="D107" s="57">
        <f>20.7*1*2/27</f>
        <v>1.5333333333333332</v>
      </c>
      <c r="E107" s="45">
        <v>0.05</v>
      </c>
      <c r="F107" s="57">
        <f t="shared" si="48"/>
        <v>1.6099999999999999</v>
      </c>
      <c r="G107" s="58" t="s">
        <v>22</v>
      </c>
      <c r="H107" s="44">
        <v>0</v>
      </c>
      <c r="I107" s="46">
        <f t="shared" si="57"/>
        <v>0</v>
      </c>
      <c r="J107" s="72">
        <v>0</v>
      </c>
      <c r="K107" s="73">
        <f t="shared" si="58"/>
        <v>0</v>
      </c>
      <c r="L107" s="65">
        <v>55</v>
      </c>
      <c r="M107" s="74">
        <f t="shared" si="59"/>
        <v>0</v>
      </c>
      <c r="N107" s="61">
        <f t="shared" si="60"/>
        <v>0</v>
      </c>
      <c r="O107" s="17"/>
      <c r="P107" s="18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</row>
    <row r="108" spans="1:75" s="41" customFormat="1" ht="47.25">
      <c r="A108" s="64">
        <f>IF(F108&lt;&gt;"",1+MAX($A$2:A107),"")</f>
        <v>90</v>
      </c>
      <c r="B108" s="313"/>
      <c r="C108" s="63" t="s">
        <v>123</v>
      </c>
      <c r="D108" s="57">
        <f>51.7*1*2/27</f>
        <v>3.8296296296296299</v>
      </c>
      <c r="E108" s="45">
        <v>0.05</v>
      </c>
      <c r="F108" s="57">
        <f t="shared" si="48"/>
        <v>4.0211111111111117</v>
      </c>
      <c r="G108" s="58" t="s">
        <v>22</v>
      </c>
      <c r="H108" s="44">
        <v>0</v>
      </c>
      <c r="I108" s="46">
        <f t="shared" si="53"/>
        <v>0</v>
      </c>
      <c r="J108" s="72">
        <v>0</v>
      </c>
      <c r="K108" s="73">
        <f t="shared" si="54"/>
        <v>0</v>
      </c>
      <c r="L108" s="65">
        <v>55</v>
      </c>
      <c r="M108" s="74">
        <f t="shared" si="55"/>
        <v>0</v>
      </c>
      <c r="N108" s="61">
        <f t="shared" si="56"/>
        <v>0</v>
      </c>
      <c r="O108" s="17"/>
      <c r="P108" s="18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</row>
    <row r="109" spans="1:75" s="41" customFormat="1" ht="47.25">
      <c r="A109" s="64">
        <f>IF(F109&lt;&gt;"",1+MAX($A$2:A108),"")</f>
        <v>91</v>
      </c>
      <c r="B109" s="313"/>
      <c r="C109" s="63" t="s">
        <v>124</v>
      </c>
      <c r="D109" s="57">
        <f>100.8*1*2/27</f>
        <v>7.4666666666666668</v>
      </c>
      <c r="E109" s="45">
        <v>0.05</v>
      </c>
      <c r="F109" s="57">
        <f t="shared" si="48"/>
        <v>7.8400000000000007</v>
      </c>
      <c r="G109" s="58" t="s">
        <v>22</v>
      </c>
      <c r="H109" s="44">
        <v>0</v>
      </c>
      <c r="I109" s="46">
        <f t="shared" si="53"/>
        <v>0</v>
      </c>
      <c r="J109" s="72">
        <v>0</v>
      </c>
      <c r="K109" s="73">
        <f t="shared" si="54"/>
        <v>0</v>
      </c>
      <c r="L109" s="65">
        <v>55</v>
      </c>
      <c r="M109" s="74">
        <f t="shared" si="55"/>
        <v>0</v>
      </c>
      <c r="N109" s="61">
        <f t="shared" si="56"/>
        <v>0</v>
      </c>
      <c r="O109" s="17"/>
      <c r="P109" s="18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</row>
    <row r="110" spans="1:75" s="41" customFormat="1" ht="47.25">
      <c r="A110" s="64">
        <f>IF(F110&lt;&gt;"",1+MAX($A$2:A109),"")</f>
        <v>92</v>
      </c>
      <c r="B110" s="313"/>
      <c r="C110" s="63" t="s">
        <v>125</v>
      </c>
      <c r="D110" s="57">
        <f>10.91*1*4/27</f>
        <v>1.6162962962962963</v>
      </c>
      <c r="E110" s="45">
        <v>0.05</v>
      </c>
      <c r="F110" s="57">
        <f t="shared" si="48"/>
        <v>1.6971111111111112</v>
      </c>
      <c r="G110" s="58" t="s">
        <v>22</v>
      </c>
      <c r="H110" s="44">
        <v>0</v>
      </c>
      <c r="I110" s="46">
        <f t="shared" si="53"/>
        <v>0</v>
      </c>
      <c r="J110" s="72">
        <v>0</v>
      </c>
      <c r="K110" s="73">
        <f t="shared" si="54"/>
        <v>0</v>
      </c>
      <c r="L110" s="65">
        <v>55</v>
      </c>
      <c r="M110" s="74">
        <f t="shared" si="55"/>
        <v>0</v>
      </c>
      <c r="N110" s="61">
        <f t="shared" si="56"/>
        <v>0</v>
      </c>
      <c r="O110" s="17"/>
      <c r="P110" s="18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</row>
    <row r="111" spans="1:75" s="41" customFormat="1" ht="47.25">
      <c r="A111" s="64">
        <f>IF(F111&lt;&gt;"",1+MAX($A$2:A110),"")</f>
        <v>93</v>
      </c>
      <c r="B111" s="313"/>
      <c r="C111" s="63" t="s">
        <v>126</v>
      </c>
      <c r="D111" s="57">
        <f>31*0.83*3.33/27</f>
        <v>3.1733666666666669</v>
      </c>
      <c r="E111" s="45">
        <v>0.05</v>
      </c>
      <c r="F111" s="57">
        <f t="shared" si="48"/>
        <v>3.3320350000000003</v>
      </c>
      <c r="G111" s="58" t="s">
        <v>22</v>
      </c>
      <c r="H111" s="44">
        <v>0</v>
      </c>
      <c r="I111" s="46">
        <f t="shared" si="53"/>
        <v>0</v>
      </c>
      <c r="J111" s="72">
        <v>0</v>
      </c>
      <c r="K111" s="73">
        <f t="shared" si="54"/>
        <v>0</v>
      </c>
      <c r="L111" s="65">
        <v>55</v>
      </c>
      <c r="M111" s="74">
        <f t="shared" si="55"/>
        <v>0</v>
      </c>
      <c r="N111" s="61">
        <f t="shared" si="56"/>
        <v>0</v>
      </c>
      <c r="O111" s="17"/>
      <c r="P111" s="18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</row>
    <row r="112" spans="1:75" s="41" customFormat="1" ht="47.25">
      <c r="A112" s="64">
        <f>IF(F112&lt;&gt;"",1+MAX($A$2:A111),"")</f>
        <v>94</v>
      </c>
      <c r="B112" s="313"/>
      <c r="C112" s="63" t="s">
        <v>127</v>
      </c>
      <c r="D112" s="57">
        <f>51.7*0.83*2.67/27</f>
        <v>4.2434211111111111</v>
      </c>
      <c r="E112" s="45">
        <v>0.05</v>
      </c>
      <c r="F112" s="57">
        <f t="shared" si="48"/>
        <v>4.4555921666666665</v>
      </c>
      <c r="G112" s="58" t="s">
        <v>22</v>
      </c>
      <c r="H112" s="44">
        <v>0</v>
      </c>
      <c r="I112" s="46">
        <f t="shared" si="53"/>
        <v>0</v>
      </c>
      <c r="J112" s="72">
        <v>0</v>
      </c>
      <c r="K112" s="73">
        <f t="shared" si="54"/>
        <v>0</v>
      </c>
      <c r="L112" s="65">
        <v>55</v>
      </c>
      <c r="M112" s="74">
        <f t="shared" si="55"/>
        <v>0</v>
      </c>
      <c r="N112" s="61">
        <f t="shared" si="56"/>
        <v>0</v>
      </c>
      <c r="O112" s="17"/>
      <c r="P112" s="18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</row>
    <row r="113" spans="1:75" s="41" customFormat="1" ht="47.25">
      <c r="A113" s="64">
        <f>IF(F113&lt;&gt;"",1+MAX($A$2:A112),"")</f>
        <v>95</v>
      </c>
      <c r="B113" s="313"/>
      <c r="C113" s="63" t="s">
        <v>128</v>
      </c>
      <c r="D113" s="57">
        <f>43.32*0.83*2/27</f>
        <v>2.6633777777777774</v>
      </c>
      <c r="E113" s="45">
        <v>0.05</v>
      </c>
      <c r="F113" s="57">
        <f t="shared" si="48"/>
        <v>2.7965466666666665</v>
      </c>
      <c r="G113" s="58" t="s">
        <v>22</v>
      </c>
      <c r="H113" s="44">
        <v>0</v>
      </c>
      <c r="I113" s="46">
        <f t="shared" ref="I113:I117" si="61">H113*F113</f>
        <v>0</v>
      </c>
      <c r="J113" s="72">
        <v>0</v>
      </c>
      <c r="K113" s="73">
        <f t="shared" ref="K113:K117" si="62">J113*F113</f>
        <v>0</v>
      </c>
      <c r="L113" s="65">
        <v>55</v>
      </c>
      <c r="M113" s="74">
        <f t="shared" ref="M113:M117" si="63">L113*K113</f>
        <v>0</v>
      </c>
      <c r="N113" s="61">
        <f t="shared" ref="N113:N117" si="64">M113+I113</f>
        <v>0</v>
      </c>
      <c r="O113" s="17"/>
      <c r="P113" s="18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</row>
    <row r="114" spans="1:75" s="41" customFormat="1" ht="47.25">
      <c r="A114" s="64">
        <f>IF(F114&lt;&gt;"",1+MAX($A$2:A113),"")</f>
        <v>96</v>
      </c>
      <c r="B114" s="313"/>
      <c r="C114" s="63" t="s">
        <v>129</v>
      </c>
      <c r="D114" s="57">
        <f>57.5*0.83*2/27</f>
        <v>3.5351851851851848</v>
      </c>
      <c r="E114" s="45">
        <v>0.05</v>
      </c>
      <c r="F114" s="57">
        <f t="shared" si="48"/>
        <v>3.7119444444444443</v>
      </c>
      <c r="G114" s="58" t="s">
        <v>22</v>
      </c>
      <c r="H114" s="44">
        <v>0</v>
      </c>
      <c r="I114" s="46">
        <f t="shared" si="61"/>
        <v>0</v>
      </c>
      <c r="J114" s="72">
        <v>0</v>
      </c>
      <c r="K114" s="73">
        <f t="shared" si="62"/>
        <v>0</v>
      </c>
      <c r="L114" s="65">
        <v>55</v>
      </c>
      <c r="M114" s="74">
        <f t="shared" si="63"/>
        <v>0</v>
      </c>
      <c r="N114" s="61">
        <f t="shared" si="64"/>
        <v>0</v>
      </c>
      <c r="O114" s="17"/>
      <c r="P114" s="18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</row>
    <row r="115" spans="1:75" s="41" customFormat="1" ht="47.25">
      <c r="A115" s="64">
        <f>IF(F115&lt;&gt;"",1+MAX($A$2:A114),"")</f>
        <v>97</v>
      </c>
      <c r="B115" s="313"/>
      <c r="C115" s="63" t="s">
        <v>130</v>
      </c>
      <c r="D115" s="57">
        <f>93.55*1.5*1.33/27</f>
        <v>6.9123055555555553</v>
      </c>
      <c r="E115" s="45">
        <v>0.05</v>
      </c>
      <c r="F115" s="57">
        <f t="shared" si="48"/>
        <v>7.2579208333333334</v>
      </c>
      <c r="G115" s="58" t="s">
        <v>22</v>
      </c>
      <c r="H115" s="44">
        <v>0</v>
      </c>
      <c r="I115" s="46">
        <f t="shared" si="61"/>
        <v>0</v>
      </c>
      <c r="J115" s="72">
        <v>0</v>
      </c>
      <c r="K115" s="73">
        <f t="shared" si="62"/>
        <v>0</v>
      </c>
      <c r="L115" s="65">
        <v>55</v>
      </c>
      <c r="M115" s="74">
        <f t="shared" si="63"/>
        <v>0</v>
      </c>
      <c r="N115" s="61">
        <f t="shared" si="64"/>
        <v>0</v>
      </c>
      <c r="O115" s="17"/>
      <c r="P115" s="18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</row>
    <row r="116" spans="1:75" s="41" customFormat="1" ht="47.25">
      <c r="A116" s="64">
        <f>IF(F116&lt;&gt;"",1+MAX($A$2:A115),"")</f>
        <v>98</v>
      </c>
      <c r="B116" s="313"/>
      <c r="C116" s="63" t="s">
        <v>131</v>
      </c>
      <c r="D116" s="57">
        <f>90.3*1.5*1.33/27</f>
        <v>6.6721666666666657</v>
      </c>
      <c r="E116" s="45">
        <v>0.05</v>
      </c>
      <c r="F116" s="57">
        <f t="shared" si="48"/>
        <v>7.005774999999999</v>
      </c>
      <c r="G116" s="58" t="s">
        <v>22</v>
      </c>
      <c r="H116" s="44">
        <v>0</v>
      </c>
      <c r="I116" s="46">
        <f t="shared" si="61"/>
        <v>0</v>
      </c>
      <c r="J116" s="72">
        <v>0</v>
      </c>
      <c r="K116" s="73">
        <f t="shared" si="62"/>
        <v>0</v>
      </c>
      <c r="L116" s="65">
        <v>55</v>
      </c>
      <c r="M116" s="74">
        <f t="shared" si="63"/>
        <v>0</v>
      </c>
      <c r="N116" s="61">
        <f t="shared" si="64"/>
        <v>0</v>
      </c>
      <c r="O116" s="17"/>
      <c r="P116" s="18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</row>
    <row r="117" spans="1:75" s="41" customFormat="1" ht="47.25">
      <c r="A117" s="64">
        <f>IF(F117&lt;&gt;"",1+MAX($A$2:A116),"")</f>
        <v>99</v>
      </c>
      <c r="B117" s="313"/>
      <c r="C117" s="63" t="s">
        <v>132</v>
      </c>
      <c r="D117" s="57">
        <f>10.91*1.5*1.33/27</f>
        <v>0.806127777777778</v>
      </c>
      <c r="E117" s="45">
        <v>0.05</v>
      </c>
      <c r="F117" s="57">
        <f t="shared" si="48"/>
        <v>0.84643416666666693</v>
      </c>
      <c r="G117" s="58" t="s">
        <v>22</v>
      </c>
      <c r="H117" s="44">
        <v>0</v>
      </c>
      <c r="I117" s="46">
        <f t="shared" si="61"/>
        <v>0</v>
      </c>
      <c r="J117" s="72">
        <v>0</v>
      </c>
      <c r="K117" s="73">
        <f t="shared" si="62"/>
        <v>0</v>
      </c>
      <c r="L117" s="65">
        <v>55</v>
      </c>
      <c r="M117" s="74">
        <f t="shared" si="63"/>
        <v>0</v>
      </c>
      <c r="N117" s="61">
        <f t="shared" si="64"/>
        <v>0</v>
      </c>
      <c r="O117" s="17"/>
      <c r="P117" s="18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</row>
    <row r="118" spans="1:75" s="41" customFormat="1" ht="47.25">
      <c r="A118" s="64">
        <f>IF(F118&lt;&gt;"",1+MAX($A$2:A117),"")</f>
        <v>100</v>
      </c>
      <c r="B118" s="313"/>
      <c r="C118" s="63" t="s">
        <v>133</v>
      </c>
      <c r="D118" s="57">
        <f>30.99*1.5*1.33/27</f>
        <v>2.2898166666666668</v>
      </c>
      <c r="E118" s="45">
        <v>0.05</v>
      </c>
      <c r="F118" s="57">
        <f t="shared" si="48"/>
        <v>2.4043075000000003</v>
      </c>
      <c r="G118" s="58" t="s">
        <v>22</v>
      </c>
      <c r="H118" s="44">
        <v>0</v>
      </c>
      <c r="I118" s="46">
        <f t="shared" si="53"/>
        <v>0</v>
      </c>
      <c r="J118" s="72">
        <v>0</v>
      </c>
      <c r="K118" s="73">
        <f t="shared" si="54"/>
        <v>0</v>
      </c>
      <c r="L118" s="65">
        <v>55</v>
      </c>
      <c r="M118" s="74">
        <f t="shared" si="55"/>
        <v>0</v>
      </c>
      <c r="N118" s="61">
        <f t="shared" si="56"/>
        <v>0</v>
      </c>
      <c r="O118" s="17"/>
      <c r="P118" s="18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</row>
    <row r="119" spans="1:75" s="41" customFormat="1" ht="47.25">
      <c r="A119" s="64">
        <f>IF(F119&lt;&gt;"",1+MAX($A$2:A118),"")</f>
        <v>101</v>
      </c>
      <c r="B119" s="313"/>
      <c r="C119" s="63" t="s">
        <v>134</v>
      </c>
      <c r="D119" s="57">
        <f>106.97*1.5*1.33/27</f>
        <v>7.9038944444444441</v>
      </c>
      <c r="E119" s="45">
        <v>0.05</v>
      </c>
      <c r="F119" s="57">
        <f t="shared" si="48"/>
        <v>8.2990891666666666</v>
      </c>
      <c r="G119" s="58" t="s">
        <v>22</v>
      </c>
      <c r="H119" s="44">
        <v>0</v>
      </c>
      <c r="I119" s="46">
        <f t="shared" ref="I119:I124" si="65">H119*F119</f>
        <v>0</v>
      </c>
      <c r="J119" s="72">
        <v>0</v>
      </c>
      <c r="K119" s="73">
        <f t="shared" ref="K119:K124" si="66">J119*F119</f>
        <v>0</v>
      </c>
      <c r="L119" s="65">
        <v>55</v>
      </c>
      <c r="M119" s="74">
        <f t="shared" ref="M119:M124" si="67">L119*K119</f>
        <v>0</v>
      </c>
      <c r="N119" s="61">
        <f t="shared" ref="N119:N124" si="68">M119+I119</f>
        <v>0</v>
      </c>
      <c r="O119" s="17"/>
      <c r="P119" s="18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</row>
    <row r="120" spans="1:75" s="41" customFormat="1" ht="47.25">
      <c r="A120" s="64">
        <f>IF(F120&lt;&gt;"",1+MAX($A$2:A119),"")</f>
        <v>102</v>
      </c>
      <c r="B120" s="313"/>
      <c r="C120" s="63" t="s">
        <v>135</v>
      </c>
      <c r="D120" s="57">
        <f>35*1.5*1.33/27</f>
        <v>2.5861111111111112</v>
      </c>
      <c r="E120" s="45">
        <v>0.05</v>
      </c>
      <c r="F120" s="57">
        <f t="shared" si="48"/>
        <v>2.715416666666667</v>
      </c>
      <c r="G120" s="58" t="s">
        <v>22</v>
      </c>
      <c r="H120" s="44">
        <v>0</v>
      </c>
      <c r="I120" s="46">
        <f t="shared" si="65"/>
        <v>0</v>
      </c>
      <c r="J120" s="72">
        <v>0</v>
      </c>
      <c r="K120" s="73">
        <f t="shared" si="66"/>
        <v>0</v>
      </c>
      <c r="L120" s="65">
        <v>55</v>
      </c>
      <c r="M120" s="74">
        <f t="shared" si="67"/>
        <v>0</v>
      </c>
      <c r="N120" s="61">
        <f t="shared" si="68"/>
        <v>0</v>
      </c>
      <c r="O120" s="17"/>
      <c r="P120" s="18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</row>
    <row r="121" spans="1:75" s="41" customFormat="1" ht="47.25">
      <c r="A121" s="64">
        <f>IF(F121&lt;&gt;"",1+MAX($A$2:A120),"")</f>
        <v>103</v>
      </c>
      <c r="B121" s="313"/>
      <c r="C121" s="63" t="s">
        <v>136</v>
      </c>
      <c r="D121" s="57">
        <f>52.23*1.5*1.33/27</f>
        <v>3.8592166666666667</v>
      </c>
      <c r="E121" s="45">
        <v>0.05</v>
      </c>
      <c r="F121" s="57">
        <f t="shared" si="48"/>
        <v>4.0521775</v>
      </c>
      <c r="G121" s="58" t="s">
        <v>22</v>
      </c>
      <c r="H121" s="44">
        <v>0</v>
      </c>
      <c r="I121" s="46">
        <f t="shared" ref="I121:I122" si="69">H121*F121</f>
        <v>0</v>
      </c>
      <c r="J121" s="72">
        <v>0</v>
      </c>
      <c r="K121" s="73">
        <f t="shared" ref="K121:K122" si="70">J121*F121</f>
        <v>0</v>
      </c>
      <c r="L121" s="65">
        <v>55</v>
      </c>
      <c r="M121" s="74">
        <f t="shared" ref="M121:M122" si="71">L121*K121</f>
        <v>0</v>
      </c>
      <c r="N121" s="61">
        <f t="shared" ref="N121:N122" si="72">M121+I121</f>
        <v>0</v>
      </c>
      <c r="O121" s="17"/>
      <c r="P121" s="18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</row>
    <row r="122" spans="1:75" s="41" customFormat="1" ht="47.25">
      <c r="A122" s="64">
        <f>IF(F122&lt;&gt;"",1+MAX($A$2:A121),"")</f>
        <v>104</v>
      </c>
      <c r="B122" s="313"/>
      <c r="C122" s="63" t="s">
        <v>137</v>
      </c>
      <c r="D122" s="57">
        <f>86.65*1.5*1.33/27</f>
        <v>6.4024722222222241</v>
      </c>
      <c r="E122" s="45">
        <v>0.05</v>
      </c>
      <c r="F122" s="57">
        <f t="shared" si="48"/>
        <v>6.7225958333333358</v>
      </c>
      <c r="G122" s="58" t="s">
        <v>22</v>
      </c>
      <c r="H122" s="44">
        <v>0</v>
      </c>
      <c r="I122" s="46">
        <f t="shared" si="69"/>
        <v>0</v>
      </c>
      <c r="J122" s="72">
        <v>0</v>
      </c>
      <c r="K122" s="73">
        <f t="shared" si="70"/>
        <v>0</v>
      </c>
      <c r="L122" s="65">
        <v>55</v>
      </c>
      <c r="M122" s="74">
        <f t="shared" si="71"/>
        <v>0</v>
      </c>
      <c r="N122" s="61">
        <f t="shared" si="72"/>
        <v>0</v>
      </c>
      <c r="O122" s="17"/>
      <c r="P122" s="18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</row>
    <row r="123" spans="1:75" s="41" customFormat="1" ht="47.25">
      <c r="A123" s="64">
        <f>IF(F123&lt;&gt;"",1+MAX($A$2:A122),"")</f>
        <v>105</v>
      </c>
      <c r="B123" s="313"/>
      <c r="C123" s="63" t="s">
        <v>138</v>
      </c>
      <c r="D123" s="57">
        <f>55.32*1.5*1.33/27</f>
        <v>4.0875333333333339</v>
      </c>
      <c r="E123" s="45">
        <v>0.05</v>
      </c>
      <c r="F123" s="57">
        <f t="shared" si="48"/>
        <v>4.2919100000000006</v>
      </c>
      <c r="G123" s="58" t="s">
        <v>22</v>
      </c>
      <c r="H123" s="44">
        <v>0</v>
      </c>
      <c r="I123" s="46">
        <f t="shared" si="65"/>
        <v>0</v>
      </c>
      <c r="J123" s="72">
        <v>0</v>
      </c>
      <c r="K123" s="73">
        <f t="shared" si="66"/>
        <v>0</v>
      </c>
      <c r="L123" s="65">
        <v>55</v>
      </c>
      <c r="M123" s="74">
        <f t="shared" si="67"/>
        <v>0</v>
      </c>
      <c r="N123" s="61">
        <f t="shared" si="68"/>
        <v>0</v>
      </c>
      <c r="O123" s="17"/>
      <c r="P123" s="18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</row>
    <row r="124" spans="1:75" s="41" customFormat="1" ht="47.25">
      <c r="A124" s="64">
        <f>IF(F124&lt;&gt;"",1+MAX($A$2:A123),"")</f>
        <v>106</v>
      </c>
      <c r="B124" s="313"/>
      <c r="C124" s="63" t="s">
        <v>139</v>
      </c>
      <c r="D124" s="57">
        <f>10.91*1.5*1.33/27</f>
        <v>0.806127777777778</v>
      </c>
      <c r="E124" s="45">
        <v>0.05</v>
      </c>
      <c r="F124" s="57">
        <f t="shared" si="48"/>
        <v>0.84643416666666693</v>
      </c>
      <c r="G124" s="58" t="s">
        <v>22</v>
      </c>
      <c r="H124" s="44">
        <v>0</v>
      </c>
      <c r="I124" s="46">
        <f t="shared" si="65"/>
        <v>0</v>
      </c>
      <c r="J124" s="72">
        <v>0</v>
      </c>
      <c r="K124" s="73">
        <f t="shared" si="66"/>
        <v>0</v>
      </c>
      <c r="L124" s="65">
        <v>55</v>
      </c>
      <c r="M124" s="74">
        <f t="shared" si="67"/>
        <v>0</v>
      </c>
      <c r="N124" s="61">
        <f t="shared" si="68"/>
        <v>0</v>
      </c>
      <c r="O124" s="17"/>
      <c r="P124" s="18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</row>
    <row r="125" spans="1:75" s="41" customFormat="1" ht="47.25">
      <c r="A125" s="64">
        <f>IF(F125&lt;&gt;"",1+MAX($A$2:A124),"")</f>
        <v>107</v>
      </c>
      <c r="B125" s="313"/>
      <c r="C125" s="63" t="s">
        <v>140</v>
      </c>
      <c r="D125" s="57">
        <f>82.64*1.5*1.33/27</f>
        <v>6.1061777777777779</v>
      </c>
      <c r="E125" s="45">
        <v>0.05</v>
      </c>
      <c r="F125" s="57">
        <f t="shared" si="48"/>
        <v>6.4114866666666668</v>
      </c>
      <c r="G125" s="58" t="s">
        <v>22</v>
      </c>
      <c r="H125" s="44">
        <v>0</v>
      </c>
      <c r="I125" s="46">
        <f t="shared" ref="I125:I133" si="73">H125*F125</f>
        <v>0</v>
      </c>
      <c r="J125" s="72">
        <v>0</v>
      </c>
      <c r="K125" s="73">
        <f t="shared" ref="K125:K133" si="74">J125*F125</f>
        <v>0</v>
      </c>
      <c r="L125" s="65">
        <v>55</v>
      </c>
      <c r="M125" s="74">
        <f t="shared" ref="M125:M133" si="75">L125*K125</f>
        <v>0</v>
      </c>
      <c r="N125" s="61">
        <f t="shared" ref="N125:N133" si="76">M125+I125</f>
        <v>0</v>
      </c>
      <c r="O125" s="17"/>
      <c r="P125" s="18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</row>
    <row r="126" spans="1:75" s="41" customFormat="1" ht="47.25">
      <c r="A126" s="64">
        <f>IF(F126&lt;&gt;"",1+MAX($A$2:A125),"")</f>
        <v>108</v>
      </c>
      <c r="B126" s="313"/>
      <c r="C126" s="63" t="s">
        <v>141</v>
      </c>
      <c r="D126" s="57">
        <f>90.32*1.5*1.33/27</f>
        <v>6.6736444444444443</v>
      </c>
      <c r="E126" s="45">
        <v>0.05</v>
      </c>
      <c r="F126" s="57">
        <f t="shared" si="48"/>
        <v>7.0073266666666667</v>
      </c>
      <c r="G126" s="58" t="s">
        <v>22</v>
      </c>
      <c r="H126" s="44">
        <v>0</v>
      </c>
      <c r="I126" s="46">
        <f t="shared" si="73"/>
        <v>0</v>
      </c>
      <c r="J126" s="72">
        <v>0</v>
      </c>
      <c r="K126" s="73">
        <f t="shared" si="74"/>
        <v>0</v>
      </c>
      <c r="L126" s="65">
        <v>55</v>
      </c>
      <c r="M126" s="74">
        <f t="shared" si="75"/>
        <v>0</v>
      </c>
      <c r="N126" s="61">
        <f t="shared" si="76"/>
        <v>0</v>
      </c>
      <c r="O126" s="17"/>
      <c r="P126" s="18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</row>
    <row r="127" spans="1:75" s="41" customFormat="1" ht="47.25">
      <c r="A127" s="64">
        <f>IF(F127&lt;&gt;"",1+MAX($A$2:A126),"")</f>
        <v>109</v>
      </c>
      <c r="B127" s="313"/>
      <c r="C127" s="63" t="s">
        <v>142</v>
      </c>
      <c r="D127" s="57">
        <f>10.91*1.5*1.33/27</f>
        <v>0.806127777777778</v>
      </c>
      <c r="E127" s="45">
        <v>0.05</v>
      </c>
      <c r="F127" s="57">
        <f t="shared" si="48"/>
        <v>0.84643416666666693</v>
      </c>
      <c r="G127" s="58" t="s">
        <v>22</v>
      </c>
      <c r="H127" s="44">
        <v>0</v>
      </c>
      <c r="I127" s="46">
        <f t="shared" si="73"/>
        <v>0</v>
      </c>
      <c r="J127" s="72">
        <v>0</v>
      </c>
      <c r="K127" s="73">
        <f t="shared" si="74"/>
        <v>0</v>
      </c>
      <c r="L127" s="65">
        <v>55</v>
      </c>
      <c r="M127" s="74">
        <f t="shared" si="75"/>
        <v>0</v>
      </c>
      <c r="N127" s="61">
        <f t="shared" si="76"/>
        <v>0</v>
      </c>
      <c r="O127" s="17"/>
      <c r="P127" s="18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</row>
    <row r="128" spans="1:75" s="41" customFormat="1" ht="47.25">
      <c r="A128" s="64">
        <f>IF(F128&lt;&gt;"",1+MAX($A$2:A127),"")</f>
        <v>110</v>
      </c>
      <c r="B128" s="313"/>
      <c r="C128" s="63" t="s">
        <v>143</v>
      </c>
      <c r="D128" s="57">
        <f>10.91*1.5*1.33/27</f>
        <v>0.806127777777778</v>
      </c>
      <c r="E128" s="45">
        <v>0.05</v>
      </c>
      <c r="F128" s="57">
        <f t="shared" si="48"/>
        <v>0.84643416666666693</v>
      </c>
      <c r="G128" s="58" t="s">
        <v>22</v>
      </c>
      <c r="H128" s="44">
        <v>0</v>
      </c>
      <c r="I128" s="46">
        <f t="shared" si="73"/>
        <v>0</v>
      </c>
      <c r="J128" s="72">
        <v>0</v>
      </c>
      <c r="K128" s="73">
        <f t="shared" si="74"/>
        <v>0</v>
      </c>
      <c r="L128" s="65">
        <v>55</v>
      </c>
      <c r="M128" s="74">
        <f t="shared" si="75"/>
        <v>0</v>
      </c>
      <c r="N128" s="61">
        <f t="shared" si="76"/>
        <v>0</v>
      </c>
      <c r="O128" s="17"/>
      <c r="P128" s="18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</row>
    <row r="129" spans="1:75" s="41" customFormat="1" ht="47.25">
      <c r="A129" s="64">
        <f>IF(F129&lt;&gt;"",1+MAX($A$2:A128),"")</f>
        <v>111</v>
      </c>
      <c r="B129" s="313"/>
      <c r="C129" s="63" t="s">
        <v>144</v>
      </c>
      <c r="D129" s="57">
        <f>35*1.5*1/27</f>
        <v>1.9444444444444444</v>
      </c>
      <c r="E129" s="45">
        <v>0.05</v>
      </c>
      <c r="F129" s="57">
        <f t="shared" si="48"/>
        <v>2.0416666666666665</v>
      </c>
      <c r="G129" s="58" t="s">
        <v>22</v>
      </c>
      <c r="H129" s="44">
        <v>0</v>
      </c>
      <c r="I129" s="46">
        <f t="shared" si="73"/>
        <v>0</v>
      </c>
      <c r="J129" s="72">
        <v>0</v>
      </c>
      <c r="K129" s="73">
        <f t="shared" si="74"/>
        <v>0</v>
      </c>
      <c r="L129" s="65">
        <v>55</v>
      </c>
      <c r="M129" s="74">
        <f t="shared" si="75"/>
        <v>0</v>
      </c>
      <c r="N129" s="61">
        <f t="shared" si="76"/>
        <v>0</v>
      </c>
      <c r="O129" s="17"/>
      <c r="P129" s="18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</row>
    <row r="130" spans="1:75" s="41" customFormat="1" ht="47.25">
      <c r="A130" s="64">
        <f>IF(F130&lt;&gt;"",1+MAX($A$2:A129),"")</f>
        <v>112</v>
      </c>
      <c r="B130" s="313"/>
      <c r="C130" s="63" t="s">
        <v>145</v>
      </c>
      <c r="D130" s="57">
        <f>12.5*1*1/27</f>
        <v>0.46296296296296297</v>
      </c>
      <c r="E130" s="45">
        <v>0.05</v>
      </c>
      <c r="F130" s="57">
        <f t="shared" si="48"/>
        <v>0.48611111111111116</v>
      </c>
      <c r="G130" s="58" t="s">
        <v>22</v>
      </c>
      <c r="H130" s="44">
        <v>0</v>
      </c>
      <c r="I130" s="46">
        <f t="shared" si="73"/>
        <v>0</v>
      </c>
      <c r="J130" s="72">
        <v>0</v>
      </c>
      <c r="K130" s="73">
        <f t="shared" si="74"/>
        <v>0</v>
      </c>
      <c r="L130" s="65">
        <v>55</v>
      </c>
      <c r="M130" s="74">
        <f t="shared" si="75"/>
        <v>0</v>
      </c>
      <c r="N130" s="61">
        <f t="shared" si="76"/>
        <v>0</v>
      </c>
      <c r="O130" s="17"/>
      <c r="P130" s="18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</row>
    <row r="131" spans="1:75" s="41" customFormat="1" ht="47.25">
      <c r="A131" s="64">
        <f>IF(F131&lt;&gt;"",1+MAX($A$2:A130),"")</f>
        <v>113</v>
      </c>
      <c r="B131" s="313"/>
      <c r="C131" s="63" t="s">
        <v>146</v>
      </c>
      <c r="D131" s="57">
        <f>10.5*1*1/27</f>
        <v>0.3888888888888889</v>
      </c>
      <c r="E131" s="45">
        <v>0.05</v>
      </c>
      <c r="F131" s="57">
        <f t="shared" si="48"/>
        <v>0.40833333333333338</v>
      </c>
      <c r="G131" s="58" t="s">
        <v>22</v>
      </c>
      <c r="H131" s="44">
        <v>0</v>
      </c>
      <c r="I131" s="46">
        <f t="shared" si="73"/>
        <v>0</v>
      </c>
      <c r="J131" s="72">
        <v>0</v>
      </c>
      <c r="K131" s="73">
        <f t="shared" si="74"/>
        <v>0</v>
      </c>
      <c r="L131" s="65">
        <v>55</v>
      </c>
      <c r="M131" s="74">
        <f t="shared" si="75"/>
        <v>0</v>
      </c>
      <c r="N131" s="61">
        <f t="shared" si="76"/>
        <v>0</v>
      </c>
      <c r="O131" s="17"/>
      <c r="P131" s="18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</row>
    <row r="132" spans="1:75" s="41" customFormat="1" ht="47.25">
      <c r="A132" s="64">
        <f>IF(F132&lt;&gt;"",1+MAX($A$2:A131),"")</f>
        <v>114</v>
      </c>
      <c r="B132" s="313"/>
      <c r="C132" s="63" t="s">
        <v>147</v>
      </c>
      <c r="D132" s="57">
        <f>10.5*1*1/27</f>
        <v>0.3888888888888889</v>
      </c>
      <c r="E132" s="45">
        <v>0.05</v>
      </c>
      <c r="F132" s="57">
        <f t="shared" si="48"/>
        <v>0.40833333333333338</v>
      </c>
      <c r="G132" s="58" t="s">
        <v>22</v>
      </c>
      <c r="H132" s="44">
        <v>0</v>
      </c>
      <c r="I132" s="46">
        <f t="shared" si="73"/>
        <v>0</v>
      </c>
      <c r="J132" s="72">
        <v>0</v>
      </c>
      <c r="K132" s="73">
        <f t="shared" si="74"/>
        <v>0</v>
      </c>
      <c r="L132" s="65">
        <v>55</v>
      </c>
      <c r="M132" s="74">
        <f t="shared" si="75"/>
        <v>0</v>
      </c>
      <c r="N132" s="61">
        <f t="shared" si="76"/>
        <v>0</v>
      </c>
      <c r="O132" s="17"/>
      <c r="P132" s="18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</row>
    <row r="133" spans="1:75" s="41" customFormat="1" ht="47.25">
      <c r="A133" s="64">
        <f>IF(F133&lt;&gt;"",1+MAX($A$2:A132),"")</f>
        <v>115</v>
      </c>
      <c r="B133" s="313"/>
      <c r="C133" s="63" t="s">
        <v>148</v>
      </c>
      <c r="D133" s="57">
        <f>10.5*1*1/27</f>
        <v>0.3888888888888889</v>
      </c>
      <c r="E133" s="45">
        <v>0.05</v>
      </c>
      <c r="F133" s="57">
        <f t="shared" si="48"/>
        <v>0.40833333333333338</v>
      </c>
      <c r="G133" s="58" t="s">
        <v>22</v>
      </c>
      <c r="H133" s="44">
        <v>0</v>
      </c>
      <c r="I133" s="46">
        <f t="shared" si="73"/>
        <v>0</v>
      </c>
      <c r="J133" s="72">
        <v>0</v>
      </c>
      <c r="K133" s="73">
        <f t="shared" si="74"/>
        <v>0</v>
      </c>
      <c r="L133" s="65">
        <v>55</v>
      </c>
      <c r="M133" s="74">
        <f t="shared" si="75"/>
        <v>0</v>
      </c>
      <c r="N133" s="61">
        <f t="shared" si="76"/>
        <v>0</v>
      </c>
      <c r="O133" s="17"/>
      <c r="P133" s="18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</row>
    <row r="134" spans="1:75" s="41" customFormat="1" ht="15.75">
      <c r="A134" s="64" t="str">
        <f>IF(F134&lt;&gt;"",1+MAX($A$2:A133),"")</f>
        <v/>
      </c>
      <c r="B134" s="336" t="s">
        <v>198</v>
      </c>
      <c r="C134" s="62" t="s">
        <v>29</v>
      </c>
      <c r="D134" s="57"/>
      <c r="E134" s="45"/>
      <c r="F134" s="57"/>
      <c r="G134" s="58"/>
      <c r="H134" s="44"/>
      <c r="I134" s="46"/>
      <c r="J134" s="46"/>
      <c r="K134" s="46"/>
      <c r="L134" s="59"/>
      <c r="M134" s="60"/>
      <c r="N134" s="61"/>
      <c r="O134" s="17"/>
      <c r="P134" s="18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</row>
    <row r="135" spans="1:75" s="41" customFormat="1" ht="31.5">
      <c r="A135" s="64">
        <f>IF(F135&lt;&gt;"",1+MAX($A$2:A134),"")</f>
        <v>116</v>
      </c>
      <c r="B135" s="313"/>
      <c r="C135" s="63" t="s">
        <v>149</v>
      </c>
      <c r="D135" s="57">
        <f>1.33*298.22/27</f>
        <v>14.6900962962963</v>
      </c>
      <c r="E135" s="45">
        <v>0.05</v>
      </c>
      <c r="F135" s="57">
        <f t="shared" ref="F135:F138" si="77">(1+E135)*D135</f>
        <v>15.424601111111116</v>
      </c>
      <c r="G135" s="58" t="s">
        <v>22</v>
      </c>
      <c r="H135" s="44">
        <v>0</v>
      </c>
      <c r="I135" s="46">
        <f>H135*F135</f>
        <v>0</v>
      </c>
      <c r="J135" s="72">
        <v>0</v>
      </c>
      <c r="K135" s="73">
        <f t="shared" ref="K135:K136" si="78">J135*F135</f>
        <v>0</v>
      </c>
      <c r="L135" s="65">
        <v>55</v>
      </c>
      <c r="M135" s="74">
        <f t="shared" ref="M135:M136" si="79">L135*K135</f>
        <v>0</v>
      </c>
      <c r="N135" s="61">
        <f>M135+I135</f>
        <v>0</v>
      </c>
      <c r="O135" s="17"/>
      <c r="P135" s="18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</row>
    <row r="136" spans="1:75" s="41" customFormat="1" ht="15.75">
      <c r="A136" s="64">
        <f>IF(F136&lt;&gt;"",1+MAX($A$2:A135),"")</f>
        <v>117</v>
      </c>
      <c r="B136" s="313"/>
      <c r="C136" s="219" t="s">
        <v>150</v>
      </c>
      <c r="D136" s="220">
        <f>298.2</f>
        <v>298.2</v>
      </c>
      <c r="E136" s="45">
        <v>0.05</v>
      </c>
      <c r="F136" s="57">
        <f t="shared" ref="F136" si="80">(1+E136)*D136</f>
        <v>313.11</v>
      </c>
      <c r="G136" s="58" t="s">
        <v>25</v>
      </c>
      <c r="H136" s="44">
        <v>0</v>
      </c>
      <c r="I136" s="46">
        <f t="shared" ref="I136" si="81">H136*F136</f>
        <v>0</v>
      </c>
      <c r="J136" s="72">
        <v>0</v>
      </c>
      <c r="K136" s="73">
        <f t="shared" si="78"/>
        <v>0</v>
      </c>
      <c r="L136" s="65">
        <v>55</v>
      </c>
      <c r="M136" s="74">
        <f t="shared" si="79"/>
        <v>0</v>
      </c>
      <c r="N136" s="61">
        <f t="shared" ref="N136" si="82">M136+I136</f>
        <v>0</v>
      </c>
      <c r="O136" s="17"/>
      <c r="P136" s="18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</row>
    <row r="137" spans="1:75" s="41" customFormat="1" ht="15.75">
      <c r="A137" s="64">
        <f>IF(F137&lt;&gt;"",1+MAX($A$2:A136),"")</f>
        <v>118</v>
      </c>
      <c r="B137" s="313"/>
      <c r="C137" s="219" t="s">
        <v>151</v>
      </c>
      <c r="D137" s="220">
        <f>298.2</f>
        <v>298.2</v>
      </c>
      <c r="E137" s="45">
        <v>0.05</v>
      </c>
      <c r="F137" s="57">
        <f t="shared" si="77"/>
        <v>313.11</v>
      </c>
      <c r="G137" s="58" t="s">
        <v>25</v>
      </c>
      <c r="H137" s="44">
        <v>0</v>
      </c>
      <c r="I137" s="46">
        <f t="shared" ref="I137" si="83">H137*F137</f>
        <v>0</v>
      </c>
      <c r="J137" s="72">
        <v>0</v>
      </c>
      <c r="K137" s="73">
        <f t="shared" ref="K137" si="84">J137*F137</f>
        <v>0</v>
      </c>
      <c r="L137" s="65">
        <v>55</v>
      </c>
      <c r="M137" s="74">
        <f t="shared" ref="M137" si="85">L137*K137</f>
        <v>0</v>
      </c>
      <c r="N137" s="61">
        <f t="shared" ref="N137" si="86">M137+I137</f>
        <v>0</v>
      </c>
      <c r="O137" s="17"/>
      <c r="P137" s="18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</row>
    <row r="138" spans="1:75" s="41" customFormat="1" ht="31.5">
      <c r="A138" s="64">
        <f>IF(F138&lt;&gt;"",1+MAX($A$2:A137),"")</f>
        <v>119</v>
      </c>
      <c r="B138" s="70"/>
      <c r="C138" s="79" t="s">
        <v>152</v>
      </c>
      <c r="D138" s="80">
        <f>3561.45*1/27</f>
        <v>131.90555555555554</v>
      </c>
      <c r="E138" s="81">
        <v>0.05</v>
      </c>
      <c r="F138" s="80">
        <f t="shared" si="77"/>
        <v>138.50083333333333</v>
      </c>
      <c r="G138" s="82" t="s">
        <v>22</v>
      </c>
      <c r="H138" s="44">
        <v>0</v>
      </c>
      <c r="I138" s="46">
        <f t="shared" ref="I138:I139" si="87">H138*F138</f>
        <v>0</v>
      </c>
      <c r="J138" s="72">
        <v>0</v>
      </c>
      <c r="K138" s="73">
        <f t="shared" ref="K138:K139" si="88">J138*F138</f>
        <v>0</v>
      </c>
      <c r="L138" s="65">
        <v>55</v>
      </c>
      <c r="M138" s="74">
        <f t="shared" ref="M138:M139" si="89">L138*K138</f>
        <v>0</v>
      </c>
      <c r="N138" s="61">
        <f t="shared" ref="N138:N139" si="90">M138+I138</f>
        <v>0</v>
      </c>
      <c r="O138" s="17"/>
      <c r="P138" s="18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</row>
    <row r="139" spans="1:75" s="41" customFormat="1" ht="15.75">
      <c r="A139" s="64">
        <f>IF(F139&lt;&gt;"",1+MAX($A$2:A138),"")</f>
        <v>120</v>
      </c>
      <c r="B139" s="70"/>
      <c r="C139" s="63" t="s">
        <v>150</v>
      </c>
      <c r="D139" s="80">
        <v>3561.45</v>
      </c>
      <c r="E139" s="45">
        <v>0.05</v>
      </c>
      <c r="F139" s="57">
        <f t="shared" ref="F139:F150" si="91">(1+E139)*D139</f>
        <v>3739.5225</v>
      </c>
      <c r="G139" s="58" t="s">
        <v>25</v>
      </c>
      <c r="H139" s="44">
        <v>0</v>
      </c>
      <c r="I139" s="46">
        <f t="shared" si="87"/>
        <v>0</v>
      </c>
      <c r="J139" s="72">
        <v>0</v>
      </c>
      <c r="K139" s="73">
        <f t="shared" si="88"/>
        <v>0</v>
      </c>
      <c r="L139" s="65">
        <v>55</v>
      </c>
      <c r="M139" s="74">
        <f t="shared" si="89"/>
        <v>0</v>
      </c>
      <c r="N139" s="61">
        <f t="shared" si="90"/>
        <v>0</v>
      </c>
      <c r="O139" s="17"/>
      <c r="P139" s="18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</row>
    <row r="140" spans="1:75" s="41" customFormat="1" ht="31.5">
      <c r="A140" s="64">
        <f>IF(F140&lt;&gt;"",1+MAX($A$2:A139),"")</f>
        <v>121</v>
      </c>
      <c r="B140" s="70"/>
      <c r="C140" s="221" t="s">
        <v>192</v>
      </c>
      <c r="D140" s="222">
        <f>(41524.71*0.667)/27+1.68</f>
        <v>1027.4941322222223</v>
      </c>
      <c r="E140" s="81">
        <v>0.05</v>
      </c>
      <c r="F140" s="80">
        <f t="shared" si="91"/>
        <v>1078.8688388333335</v>
      </c>
      <c r="G140" s="82" t="s">
        <v>22</v>
      </c>
      <c r="H140" s="44">
        <v>0</v>
      </c>
      <c r="I140" s="46">
        <f t="shared" ref="I140:I141" si="92">H140*F140</f>
        <v>0</v>
      </c>
      <c r="J140" s="72">
        <v>0</v>
      </c>
      <c r="K140" s="73">
        <f t="shared" ref="K140:K150" si="93">J140*F140</f>
        <v>0</v>
      </c>
      <c r="L140" s="65">
        <v>55</v>
      </c>
      <c r="M140" s="74">
        <f t="shared" ref="M140:M150" si="94">L140*K140</f>
        <v>0</v>
      </c>
      <c r="N140" s="61">
        <f t="shared" ref="N140:N141" si="95">M140+I140</f>
        <v>0</v>
      </c>
      <c r="O140" s="17"/>
      <c r="P140" s="18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</row>
    <row r="141" spans="1:75" s="41" customFormat="1" ht="15.75">
      <c r="A141" s="64">
        <f>IF(F141&lt;&gt;"",1+MAX($A$2:A140),"")</f>
        <v>122</v>
      </c>
      <c r="B141" s="70"/>
      <c r="C141" s="219" t="s">
        <v>151</v>
      </c>
      <c r="D141" s="220">
        <v>41524.71</v>
      </c>
      <c r="E141" s="45">
        <v>0.05</v>
      </c>
      <c r="F141" s="57">
        <f t="shared" si="91"/>
        <v>43600.945500000002</v>
      </c>
      <c r="G141" s="58" t="s">
        <v>25</v>
      </c>
      <c r="H141" s="44">
        <v>0</v>
      </c>
      <c r="I141" s="46">
        <f t="shared" si="92"/>
        <v>0</v>
      </c>
      <c r="J141" s="72">
        <v>0</v>
      </c>
      <c r="K141" s="73">
        <f t="shared" si="93"/>
        <v>0</v>
      </c>
      <c r="L141" s="65">
        <v>55</v>
      </c>
      <c r="M141" s="74">
        <f t="shared" si="94"/>
        <v>0</v>
      </c>
      <c r="N141" s="61">
        <f t="shared" si="95"/>
        <v>0</v>
      </c>
      <c r="O141" s="17"/>
      <c r="P141" s="18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</row>
    <row r="142" spans="1:75" s="41" customFormat="1" ht="15.75">
      <c r="A142" s="64">
        <f>IF(F142&lt;&gt;"",1+MAX($A$2:A141),"")</f>
        <v>123</v>
      </c>
      <c r="B142" s="70"/>
      <c r="C142" s="216" t="s">
        <v>168</v>
      </c>
      <c r="D142" s="217">
        <f>(337.21*1)/27</f>
        <v>12.489259259259258</v>
      </c>
      <c r="E142" s="45">
        <v>0.05</v>
      </c>
      <c r="F142" s="57">
        <f t="shared" si="91"/>
        <v>13.113722222222222</v>
      </c>
      <c r="G142" s="58" t="s">
        <v>22</v>
      </c>
      <c r="H142" s="44">
        <v>0</v>
      </c>
      <c r="I142" s="46">
        <f>H142*F142</f>
        <v>0</v>
      </c>
      <c r="J142" s="72">
        <v>0</v>
      </c>
      <c r="K142" s="73">
        <f t="shared" si="93"/>
        <v>0</v>
      </c>
      <c r="L142" s="65">
        <v>55</v>
      </c>
      <c r="M142" s="74">
        <f t="shared" si="94"/>
        <v>0</v>
      </c>
      <c r="N142" s="61">
        <f>M142+I142</f>
        <v>0</v>
      </c>
      <c r="O142" s="17"/>
      <c r="P142" s="18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</row>
    <row r="143" spans="1:75" s="41" customFormat="1" ht="15.75">
      <c r="A143" s="64">
        <f>IF(F143&lt;&gt;"",1+MAX($A$2:A142),"")</f>
        <v>124</v>
      </c>
      <c r="B143" s="70"/>
      <c r="C143" s="219" t="s">
        <v>151</v>
      </c>
      <c r="D143" s="220">
        <v>337.2</v>
      </c>
      <c r="E143" s="45">
        <v>0.05</v>
      </c>
      <c r="F143" s="57">
        <f t="shared" ref="F143" si="96">(1+E143)*D143</f>
        <v>354.06</v>
      </c>
      <c r="G143" s="58" t="s">
        <v>25</v>
      </c>
      <c r="H143" s="44">
        <v>0</v>
      </c>
      <c r="I143" s="46">
        <f t="shared" ref="I143" si="97">H143*F143</f>
        <v>0</v>
      </c>
      <c r="J143" s="72">
        <v>0</v>
      </c>
      <c r="K143" s="73">
        <f t="shared" ref="K143" si="98">J143*F143</f>
        <v>0</v>
      </c>
      <c r="L143" s="65">
        <v>55</v>
      </c>
      <c r="M143" s="74">
        <f t="shared" ref="M143" si="99">L143*K143</f>
        <v>0</v>
      </c>
      <c r="N143" s="61">
        <f t="shared" ref="N143" si="100">M143+I143</f>
        <v>0</v>
      </c>
      <c r="O143" s="17"/>
      <c r="P143" s="18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</row>
    <row r="144" spans="1:75" s="41" customFormat="1" ht="15.75">
      <c r="A144" s="64">
        <f>IF(F144&lt;&gt;"",1+MAX($A$2:A143),"")</f>
        <v>125</v>
      </c>
      <c r="B144" s="70"/>
      <c r="C144" s="216" t="s">
        <v>169</v>
      </c>
      <c r="D144" s="217">
        <f>(871.54*0.83)/27</f>
        <v>26.79178518518518</v>
      </c>
      <c r="E144" s="45">
        <v>0.05</v>
      </c>
      <c r="F144" s="57">
        <f t="shared" si="91"/>
        <v>28.13137444444444</v>
      </c>
      <c r="G144" s="58" t="s">
        <v>22</v>
      </c>
      <c r="H144" s="44">
        <v>0</v>
      </c>
      <c r="I144" s="46">
        <f t="shared" ref="I144:I151" si="101">H144*F144</f>
        <v>0</v>
      </c>
      <c r="J144" s="72">
        <v>0</v>
      </c>
      <c r="K144" s="73">
        <f t="shared" si="93"/>
        <v>0</v>
      </c>
      <c r="L144" s="65">
        <v>55</v>
      </c>
      <c r="M144" s="74">
        <f t="shared" si="94"/>
        <v>0</v>
      </c>
      <c r="N144" s="61">
        <f t="shared" ref="N144:N151" si="102">M144+I144</f>
        <v>0</v>
      </c>
      <c r="O144" s="17"/>
      <c r="P144" s="18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</row>
    <row r="145" spans="1:77" s="41" customFormat="1" ht="15.75">
      <c r="A145" s="64">
        <f>IF(F145&lt;&gt;"",1+MAX($A$2:A144),"")</f>
        <v>126</v>
      </c>
      <c r="B145" s="70"/>
      <c r="C145" s="219" t="s">
        <v>151</v>
      </c>
      <c r="D145" s="220">
        <v>871.5</v>
      </c>
      <c r="E145" s="45">
        <v>0.05</v>
      </c>
      <c r="F145" s="57">
        <f t="shared" si="91"/>
        <v>915.07500000000005</v>
      </c>
      <c r="G145" s="58" t="s">
        <v>25</v>
      </c>
      <c r="H145" s="44">
        <v>0</v>
      </c>
      <c r="I145" s="46">
        <f t="shared" si="101"/>
        <v>0</v>
      </c>
      <c r="J145" s="72">
        <v>0</v>
      </c>
      <c r="K145" s="73">
        <f t="shared" si="93"/>
        <v>0</v>
      </c>
      <c r="L145" s="65">
        <v>55</v>
      </c>
      <c r="M145" s="74">
        <f t="shared" si="94"/>
        <v>0</v>
      </c>
      <c r="N145" s="61">
        <f t="shared" si="102"/>
        <v>0</v>
      </c>
      <c r="O145" s="17"/>
      <c r="P145" s="18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</row>
    <row r="146" spans="1:77" s="41" customFormat="1" ht="15.75">
      <c r="A146" s="64" t="str">
        <f>IF(F146&lt;&gt;"",1+MAX($A$2:A145),"")</f>
        <v/>
      </c>
      <c r="B146" s="225"/>
      <c r="C146" s="62" t="s">
        <v>1030</v>
      </c>
      <c r="D146" s="57"/>
      <c r="E146" s="45"/>
      <c r="F146" s="57"/>
      <c r="G146" s="58"/>
      <c r="H146" s="44"/>
      <c r="I146" s="46"/>
      <c r="J146" s="46"/>
      <c r="K146" s="46"/>
      <c r="L146" s="59"/>
      <c r="M146" s="60"/>
      <c r="N146" s="61"/>
      <c r="O146" s="17"/>
      <c r="P146" s="18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</row>
    <row r="147" spans="1:77" s="41" customFormat="1" ht="15.75">
      <c r="A147" s="64">
        <f>IF(F147&lt;&gt;"",1+MAX($A$2:A146),"")</f>
        <v>127</v>
      </c>
      <c r="B147" s="225"/>
      <c r="C147" s="63" t="s">
        <v>1031</v>
      </c>
      <c r="D147" s="57">
        <v>32632.5</v>
      </c>
      <c r="E147" s="45">
        <v>0.05</v>
      </c>
      <c r="F147" s="57">
        <f t="shared" ref="F147" si="103">(1+E147)*D147</f>
        <v>34264.125</v>
      </c>
      <c r="G147" s="58" t="s">
        <v>25</v>
      </c>
      <c r="H147" s="44">
        <v>0</v>
      </c>
      <c r="I147" s="46">
        <f>H147*F147</f>
        <v>0</v>
      </c>
      <c r="J147" s="72">
        <v>0</v>
      </c>
      <c r="K147" s="73">
        <f t="shared" ref="K147" si="104">J147*F147</f>
        <v>0</v>
      </c>
      <c r="L147" s="65">
        <v>55</v>
      </c>
      <c r="M147" s="74">
        <f t="shared" ref="M147" si="105">L147*K147</f>
        <v>0</v>
      </c>
      <c r="N147" s="61">
        <f>M147+I147</f>
        <v>0</v>
      </c>
      <c r="O147" s="17"/>
      <c r="P147" s="18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</row>
    <row r="148" spans="1:77" s="41" customFormat="1" ht="15.75">
      <c r="A148" s="64" t="str">
        <f>IF(F148&lt;&gt;"",1+MAX($A$2:A147),"")</f>
        <v/>
      </c>
      <c r="B148" s="70"/>
      <c r="C148" s="62" t="s">
        <v>183</v>
      </c>
      <c r="D148" s="57"/>
      <c r="E148" s="45"/>
      <c r="F148" s="57"/>
      <c r="G148" s="58"/>
      <c r="H148" s="44"/>
      <c r="I148" s="46"/>
      <c r="J148" s="46"/>
      <c r="K148" s="46"/>
      <c r="L148" s="59"/>
      <c r="M148" s="60"/>
      <c r="N148" s="61"/>
      <c r="O148" s="17"/>
      <c r="P148" s="18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</row>
    <row r="149" spans="1:77" s="41" customFormat="1" ht="31.5">
      <c r="A149" s="64">
        <f>IF(F149&lt;&gt;"",1+MAX($A$2:A148),"")</f>
        <v>128</v>
      </c>
      <c r="B149" s="70"/>
      <c r="C149" s="216" t="s">
        <v>184</v>
      </c>
      <c r="D149" s="217">
        <f>(0.9*3.667*330)/27</f>
        <v>40.336999999999996</v>
      </c>
      <c r="E149" s="45">
        <v>0.05</v>
      </c>
      <c r="F149" s="57">
        <f t="shared" si="91"/>
        <v>42.353850000000001</v>
      </c>
      <c r="G149" s="58" t="s">
        <v>22</v>
      </c>
      <c r="H149" s="44">
        <v>0</v>
      </c>
      <c r="I149" s="46">
        <f t="shared" si="101"/>
        <v>0</v>
      </c>
      <c r="J149" s="72">
        <v>0</v>
      </c>
      <c r="K149" s="73">
        <f t="shared" si="93"/>
        <v>0</v>
      </c>
      <c r="L149" s="65">
        <v>55</v>
      </c>
      <c r="M149" s="74">
        <f t="shared" si="94"/>
        <v>0</v>
      </c>
      <c r="N149" s="61">
        <f t="shared" si="102"/>
        <v>0</v>
      </c>
      <c r="O149" s="17"/>
      <c r="P149" s="18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</row>
    <row r="150" spans="1:77" s="41" customFormat="1" ht="15.75">
      <c r="A150" s="64">
        <f>IF(F150&lt;&gt;"",1+MAX($A$2:A149),"")</f>
        <v>129</v>
      </c>
      <c r="B150" s="70"/>
      <c r="C150" s="216" t="s">
        <v>185</v>
      </c>
      <c r="D150" s="217">
        <v>330</v>
      </c>
      <c r="E150" s="81">
        <v>0.05</v>
      </c>
      <c r="F150" s="80">
        <f t="shared" si="91"/>
        <v>346.5</v>
      </c>
      <c r="G150" s="82" t="s">
        <v>14</v>
      </c>
      <c r="H150" s="44">
        <v>0</v>
      </c>
      <c r="I150" s="46">
        <f t="shared" si="101"/>
        <v>0</v>
      </c>
      <c r="J150" s="72">
        <v>0</v>
      </c>
      <c r="K150" s="73">
        <f t="shared" si="93"/>
        <v>0</v>
      </c>
      <c r="L150" s="65">
        <v>55</v>
      </c>
      <c r="M150" s="74">
        <f t="shared" si="94"/>
        <v>0</v>
      </c>
      <c r="N150" s="61">
        <f t="shared" si="102"/>
        <v>0</v>
      </c>
      <c r="O150" s="17"/>
      <c r="P150" s="18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</row>
    <row r="151" spans="1:77" s="41" customFormat="1" ht="31.5">
      <c r="A151" s="64">
        <f>IF(F151&lt;&gt;"",1+MAX($A$2:A150),"")</f>
        <v>130</v>
      </c>
      <c r="B151" s="70" t="s">
        <v>200</v>
      </c>
      <c r="C151" s="216" t="s">
        <v>196</v>
      </c>
      <c r="D151" s="217">
        <f>(0.97*2.83*62)/27</f>
        <v>6.303562962962963</v>
      </c>
      <c r="E151" s="81">
        <v>0.05</v>
      </c>
      <c r="F151" s="80">
        <f t="shared" ref="F151:F153" si="106">(1+E151)*D151</f>
        <v>6.6187411111111114</v>
      </c>
      <c r="G151" s="82" t="s">
        <v>22</v>
      </c>
      <c r="H151" s="44">
        <v>0</v>
      </c>
      <c r="I151" s="46">
        <f t="shared" si="101"/>
        <v>0</v>
      </c>
      <c r="J151" s="72">
        <v>0</v>
      </c>
      <c r="K151" s="73">
        <f t="shared" ref="K151:K153" si="107">J151*F151</f>
        <v>0</v>
      </c>
      <c r="L151" s="65">
        <v>55</v>
      </c>
      <c r="M151" s="74">
        <f t="shared" ref="M151:M153" si="108">L151*K151</f>
        <v>0</v>
      </c>
      <c r="N151" s="61">
        <f t="shared" si="102"/>
        <v>0</v>
      </c>
      <c r="O151" s="17"/>
      <c r="P151" s="18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</row>
    <row r="152" spans="1:77" s="41" customFormat="1" ht="15.75">
      <c r="A152" s="64">
        <f>IF(F152&lt;&gt;"",1+MAX($A$2:A151),"")</f>
        <v>131</v>
      </c>
      <c r="B152" s="70"/>
      <c r="C152" s="216" t="s">
        <v>186</v>
      </c>
      <c r="D152" s="217">
        <v>62</v>
      </c>
      <c r="E152" s="45">
        <v>0.05</v>
      </c>
      <c r="F152" s="57">
        <f t="shared" si="106"/>
        <v>65.100000000000009</v>
      </c>
      <c r="G152" s="58" t="s">
        <v>14</v>
      </c>
      <c r="H152" s="44">
        <v>0</v>
      </c>
      <c r="I152" s="46">
        <f t="shared" ref="I152:I153" si="109">H152*F152</f>
        <v>0</v>
      </c>
      <c r="J152" s="72">
        <v>0</v>
      </c>
      <c r="K152" s="73">
        <f t="shared" si="107"/>
        <v>0</v>
      </c>
      <c r="L152" s="65">
        <v>55</v>
      </c>
      <c r="M152" s="74">
        <f t="shared" si="108"/>
        <v>0</v>
      </c>
      <c r="N152" s="61">
        <f t="shared" ref="N152:N153" si="110">M152+I152</f>
        <v>0</v>
      </c>
      <c r="O152" s="17"/>
      <c r="P152" s="18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</row>
    <row r="153" spans="1:77" s="41" customFormat="1" ht="31.5">
      <c r="A153" s="64">
        <f>IF(F153&lt;&gt;"",1+MAX($A$2:A152),"")</f>
        <v>132</v>
      </c>
      <c r="B153" s="70"/>
      <c r="C153" s="63" t="s">
        <v>197</v>
      </c>
      <c r="D153" s="80">
        <f>(2.94*11.83)/27</f>
        <v>1.2881555555555555</v>
      </c>
      <c r="E153" s="45">
        <v>0.05</v>
      </c>
      <c r="F153" s="57">
        <f t="shared" si="106"/>
        <v>1.3525633333333333</v>
      </c>
      <c r="G153" s="58" t="s">
        <v>22</v>
      </c>
      <c r="H153" s="44">
        <v>0</v>
      </c>
      <c r="I153" s="46">
        <f t="shared" si="109"/>
        <v>0</v>
      </c>
      <c r="J153" s="72">
        <v>0</v>
      </c>
      <c r="K153" s="73">
        <f t="shared" si="107"/>
        <v>0</v>
      </c>
      <c r="L153" s="65">
        <v>55</v>
      </c>
      <c r="M153" s="74">
        <f t="shared" si="108"/>
        <v>0</v>
      </c>
      <c r="N153" s="61">
        <f t="shared" si="110"/>
        <v>0</v>
      </c>
      <c r="O153" s="17"/>
      <c r="P153" s="18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</row>
    <row r="154" spans="1:77" s="41" customFormat="1" ht="15.75">
      <c r="A154" s="64" t="str">
        <f>IF(F154&lt;&gt;"",1+MAX($A$2:A153),"")</f>
        <v/>
      </c>
      <c r="B154" s="230"/>
      <c r="C154" s="227"/>
      <c r="D154" s="188"/>
      <c r="E154" s="189"/>
      <c r="F154" s="188"/>
      <c r="G154" s="190"/>
      <c r="H154" s="191"/>
      <c r="I154" s="192"/>
      <c r="J154" s="192"/>
      <c r="K154" s="192"/>
      <c r="L154" s="228"/>
      <c r="M154" s="229"/>
      <c r="N154" s="197"/>
      <c r="O154" s="198"/>
      <c r="P154" s="18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</row>
    <row r="155" spans="1:77" s="42" customFormat="1" ht="18.75">
      <c r="A155" s="333" t="s">
        <v>224</v>
      </c>
      <c r="B155" s="334"/>
      <c r="C155" s="334"/>
      <c r="D155" s="334"/>
      <c r="E155" s="334"/>
      <c r="F155" s="334"/>
      <c r="G155" s="334"/>
      <c r="H155" s="334"/>
      <c r="I155" s="334"/>
      <c r="J155" s="334"/>
      <c r="K155" s="334"/>
      <c r="L155" s="334"/>
      <c r="M155" s="334"/>
      <c r="N155" s="334"/>
      <c r="O155" s="334"/>
      <c r="P155" s="56">
        <f>SUM(N156:N167)</f>
        <v>0</v>
      </c>
      <c r="Q155" s="2"/>
      <c r="R155" s="2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</row>
    <row r="156" spans="1:77" s="41" customFormat="1" ht="15.75">
      <c r="A156" s="64" t="str">
        <f>IF(F156&lt;&gt;"",1+MAX($A$2:A155),"")</f>
        <v/>
      </c>
      <c r="B156" s="230"/>
      <c r="C156" s="227"/>
      <c r="D156" s="188"/>
      <c r="E156" s="189"/>
      <c r="F156" s="188"/>
      <c r="G156" s="190"/>
      <c r="H156" s="191"/>
      <c r="I156" s="192"/>
      <c r="J156" s="192"/>
      <c r="K156" s="192"/>
      <c r="L156" s="228"/>
      <c r="M156" s="229"/>
      <c r="N156" s="197"/>
      <c r="O156" s="198"/>
      <c r="P156" s="18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</row>
    <row r="157" spans="1:77" s="41" customFormat="1" ht="15.75">
      <c r="A157" s="64" t="str">
        <f>IF(F157&lt;&gt;"",1+MAX($A$2:A156),"")</f>
        <v/>
      </c>
      <c r="B157" s="335" t="s">
        <v>235</v>
      </c>
      <c r="C157" s="211" t="s">
        <v>225</v>
      </c>
      <c r="D157" s="188"/>
      <c r="E157" s="189"/>
      <c r="F157" s="188"/>
      <c r="G157" s="190"/>
      <c r="H157" s="191"/>
      <c r="I157" s="192"/>
      <c r="J157" s="192"/>
      <c r="K157" s="192"/>
      <c r="L157" s="228"/>
      <c r="M157" s="229"/>
      <c r="N157" s="197"/>
      <c r="O157" s="198"/>
      <c r="P157" s="18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</row>
    <row r="158" spans="1:77" s="41" customFormat="1" ht="31.5">
      <c r="A158" s="64">
        <f>IF(F158&lt;&gt;"",1+MAX($A$2:A157),"")</f>
        <v>133</v>
      </c>
      <c r="B158" s="313"/>
      <c r="C158" s="226" t="s">
        <v>226</v>
      </c>
      <c r="D158" s="188">
        <f>(68.93*9)</f>
        <v>620.37000000000012</v>
      </c>
      <c r="E158" s="189">
        <v>0.05</v>
      </c>
      <c r="F158" s="188">
        <f t="shared" ref="F158:F166" si="111">(1+E158)*D158</f>
        <v>651.38850000000014</v>
      </c>
      <c r="G158" s="190" t="s">
        <v>25</v>
      </c>
      <c r="H158" s="191">
        <v>0</v>
      </c>
      <c r="I158" s="192">
        <f t="shared" ref="I158:I164" si="112">H158*F158</f>
        <v>0</v>
      </c>
      <c r="J158" s="193">
        <v>0</v>
      </c>
      <c r="K158" s="194">
        <f t="shared" ref="K158:K166" si="113">J158*F158</f>
        <v>0</v>
      </c>
      <c r="L158" s="195">
        <v>55</v>
      </c>
      <c r="M158" s="196">
        <f t="shared" ref="M158:M166" si="114">L158*K158</f>
        <v>0</v>
      </c>
      <c r="N158" s="197">
        <f t="shared" ref="N158:N166" si="115">M158+I158</f>
        <v>0</v>
      </c>
      <c r="O158" s="198"/>
      <c r="P158" s="18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</row>
    <row r="159" spans="1:77" s="41" customFormat="1" ht="31.5">
      <c r="A159" s="64">
        <f>IF(F159&lt;&gt;"",1+MAX($A$2:A158),"")</f>
        <v>134</v>
      </c>
      <c r="B159" s="313"/>
      <c r="C159" s="226" t="s">
        <v>227</v>
      </c>
      <c r="D159" s="188">
        <f>((9.01+9.05*8)*9.67)</f>
        <v>787.23470000000009</v>
      </c>
      <c r="E159" s="189">
        <v>0.05</v>
      </c>
      <c r="F159" s="188">
        <f t="shared" si="111"/>
        <v>826.59643500000016</v>
      </c>
      <c r="G159" s="190" t="s">
        <v>25</v>
      </c>
      <c r="H159" s="191">
        <v>0</v>
      </c>
      <c r="I159" s="192">
        <f t="shared" si="112"/>
        <v>0</v>
      </c>
      <c r="J159" s="193">
        <v>0</v>
      </c>
      <c r="K159" s="194">
        <f t="shared" si="113"/>
        <v>0</v>
      </c>
      <c r="L159" s="195">
        <v>55</v>
      </c>
      <c r="M159" s="196">
        <f t="shared" si="114"/>
        <v>0</v>
      </c>
      <c r="N159" s="197">
        <f t="shared" si="115"/>
        <v>0</v>
      </c>
      <c r="O159" s="198"/>
      <c r="P159" s="18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</row>
    <row r="160" spans="1:77" s="41" customFormat="1" ht="31.5">
      <c r="A160" s="64">
        <f>IF(F160&lt;&gt;"",1+MAX($A$2:A159),"")</f>
        <v>135</v>
      </c>
      <c r="B160" s="313"/>
      <c r="C160" s="226" t="s">
        <v>228</v>
      </c>
      <c r="D160" s="188">
        <f>(9.12*9.83)</f>
        <v>89.649599999999992</v>
      </c>
      <c r="E160" s="189">
        <v>0.05</v>
      </c>
      <c r="F160" s="188">
        <f t="shared" si="111"/>
        <v>94.132080000000002</v>
      </c>
      <c r="G160" s="190" t="s">
        <v>25</v>
      </c>
      <c r="H160" s="191">
        <v>0</v>
      </c>
      <c r="I160" s="192">
        <f t="shared" si="112"/>
        <v>0</v>
      </c>
      <c r="J160" s="193">
        <v>0</v>
      </c>
      <c r="K160" s="194">
        <f t="shared" si="113"/>
        <v>0</v>
      </c>
      <c r="L160" s="195">
        <v>55</v>
      </c>
      <c r="M160" s="196">
        <f t="shared" si="114"/>
        <v>0</v>
      </c>
      <c r="N160" s="197">
        <f t="shared" si="115"/>
        <v>0</v>
      </c>
      <c r="O160" s="198"/>
      <c r="P160" s="18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</row>
    <row r="161" spans="1:77" s="41" customFormat="1" ht="31.5">
      <c r="A161" s="64">
        <f>IF(F161&lt;&gt;"",1+MAX($A$2:A160),"")</f>
        <v>136</v>
      </c>
      <c r="B161" s="313"/>
      <c r="C161" s="226" t="s">
        <v>229</v>
      </c>
      <c r="D161" s="188">
        <f>(8.4*4*10.17)</f>
        <v>341.71199999999999</v>
      </c>
      <c r="E161" s="189">
        <v>0.05</v>
      </c>
      <c r="F161" s="188">
        <f t="shared" si="111"/>
        <v>358.79759999999999</v>
      </c>
      <c r="G161" s="190" t="s">
        <v>25</v>
      </c>
      <c r="H161" s="191">
        <v>0</v>
      </c>
      <c r="I161" s="192">
        <f t="shared" si="112"/>
        <v>0</v>
      </c>
      <c r="J161" s="193">
        <v>0</v>
      </c>
      <c r="K161" s="194">
        <f t="shared" si="113"/>
        <v>0</v>
      </c>
      <c r="L161" s="195">
        <v>55</v>
      </c>
      <c r="M161" s="196">
        <f t="shared" si="114"/>
        <v>0</v>
      </c>
      <c r="N161" s="197">
        <f t="shared" si="115"/>
        <v>0</v>
      </c>
      <c r="O161" s="198"/>
      <c r="P161" s="18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</row>
    <row r="162" spans="1:77" s="41" customFormat="1" ht="31.5">
      <c r="A162" s="64">
        <f>IF(F162&lt;&gt;"",1+MAX($A$2:A161),"")</f>
        <v>137</v>
      </c>
      <c r="B162" s="313"/>
      <c r="C162" s="226" t="s">
        <v>230</v>
      </c>
      <c r="D162" s="188">
        <f>(8.03*11.33)</f>
        <v>90.979899999999986</v>
      </c>
      <c r="E162" s="189">
        <v>0.05</v>
      </c>
      <c r="F162" s="188">
        <f t="shared" si="111"/>
        <v>95.528894999999991</v>
      </c>
      <c r="G162" s="190" t="s">
        <v>25</v>
      </c>
      <c r="H162" s="191">
        <v>0</v>
      </c>
      <c r="I162" s="192">
        <f t="shared" si="112"/>
        <v>0</v>
      </c>
      <c r="J162" s="193">
        <v>0</v>
      </c>
      <c r="K162" s="194">
        <f t="shared" si="113"/>
        <v>0</v>
      </c>
      <c r="L162" s="195">
        <v>55</v>
      </c>
      <c r="M162" s="196">
        <f t="shared" si="114"/>
        <v>0</v>
      </c>
      <c r="N162" s="197">
        <f t="shared" si="115"/>
        <v>0</v>
      </c>
      <c r="O162" s="198"/>
      <c r="P162" s="18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</row>
    <row r="163" spans="1:77" s="41" customFormat="1" ht="31.5">
      <c r="A163" s="64">
        <f>IF(F163&lt;&gt;"",1+MAX($A$2:A162),"")</f>
        <v>138</v>
      </c>
      <c r="B163" s="313"/>
      <c r="C163" s="226" t="s">
        <v>231</v>
      </c>
      <c r="D163" s="188">
        <f>(10.94*11.83)</f>
        <v>129.42019999999999</v>
      </c>
      <c r="E163" s="189">
        <v>0.05</v>
      </c>
      <c r="F163" s="188">
        <f t="shared" si="111"/>
        <v>135.89121</v>
      </c>
      <c r="G163" s="190" t="s">
        <v>25</v>
      </c>
      <c r="H163" s="191">
        <v>0</v>
      </c>
      <c r="I163" s="192">
        <f t="shared" si="112"/>
        <v>0</v>
      </c>
      <c r="J163" s="193">
        <v>0</v>
      </c>
      <c r="K163" s="194">
        <f t="shared" si="113"/>
        <v>0</v>
      </c>
      <c r="L163" s="195">
        <v>55</v>
      </c>
      <c r="M163" s="196">
        <f t="shared" si="114"/>
        <v>0</v>
      </c>
      <c r="N163" s="197">
        <f t="shared" si="115"/>
        <v>0</v>
      </c>
      <c r="O163" s="198"/>
      <c r="P163" s="18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</row>
    <row r="164" spans="1:77" s="41" customFormat="1" ht="31.5">
      <c r="A164" s="64">
        <f>IF(F164&lt;&gt;"",1+MAX($A$2:A163),"")</f>
        <v>139</v>
      </c>
      <c r="B164" s="313"/>
      <c r="C164" s="226" t="s">
        <v>232</v>
      </c>
      <c r="D164" s="188">
        <f>68.93+9.01+9.05*8+9.12+8.4*4+8.03+10.98</f>
        <v>212.07000000000002</v>
      </c>
      <c r="E164" s="189">
        <v>0.05</v>
      </c>
      <c r="F164" s="188">
        <f t="shared" si="111"/>
        <v>222.67350000000002</v>
      </c>
      <c r="G164" s="190" t="s">
        <v>13</v>
      </c>
      <c r="H164" s="191">
        <v>0</v>
      </c>
      <c r="I164" s="192">
        <f t="shared" si="112"/>
        <v>0</v>
      </c>
      <c r="J164" s="193">
        <v>0</v>
      </c>
      <c r="K164" s="194">
        <f t="shared" si="113"/>
        <v>0</v>
      </c>
      <c r="L164" s="195">
        <v>55</v>
      </c>
      <c r="M164" s="196">
        <f t="shared" si="114"/>
        <v>0</v>
      </c>
      <c r="N164" s="197">
        <f t="shared" si="115"/>
        <v>0</v>
      </c>
      <c r="O164" s="198"/>
      <c r="P164" s="18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</row>
    <row r="165" spans="1:77" s="41" customFormat="1" ht="15.75">
      <c r="A165" s="64">
        <f>IF(F165&lt;&gt;"",1+MAX($A$2:A164),"")</f>
        <v>140</v>
      </c>
      <c r="B165" s="313"/>
      <c r="C165" s="231" t="s">
        <v>233</v>
      </c>
      <c r="D165" s="188">
        <f>ROUNDUP((D158+D159+D160+D161+D162+D163)/0.89,)</f>
        <v>2314</v>
      </c>
      <c r="E165" s="189">
        <v>0</v>
      </c>
      <c r="F165" s="188">
        <f t="shared" si="111"/>
        <v>2314</v>
      </c>
      <c r="G165" s="190" t="s">
        <v>14</v>
      </c>
      <c r="H165" s="191">
        <v>0</v>
      </c>
      <c r="I165" s="192"/>
      <c r="J165" s="193">
        <v>0</v>
      </c>
      <c r="K165" s="194">
        <f t="shared" si="113"/>
        <v>0</v>
      </c>
      <c r="L165" s="195">
        <v>55</v>
      </c>
      <c r="M165" s="196">
        <f t="shared" si="114"/>
        <v>0</v>
      </c>
      <c r="N165" s="197"/>
      <c r="O165" s="198"/>
      <c r="P165" s="18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</row>
    <row r="166" spans="1:77" s="41" customFormat="1" ht="15.75">
      <c r="A166" s="64">
        <f>IF(F166&lt;&gt;"",1+MAX($A$2:A165),"")</f>
        <v>141</v>
      </c>
      <c r="B166" s="313"/>
      <c r="C166" s="231" t="s">
        <v>234</v>
      </c>
      <c r="D166" s="188">
        <f>D165/100*1.12</f>
        <v>25.916800000000002</v>
      </c>
      <c r="E166" s="189">
        <v>0.05</v>
      </c>
      <c r="F166" s="188">
        <f t="shared" si="111"/>
        <v>27.212640000000004</v>
      </c>
      <c r="G166" s="190" t="s">
        <v>22</v>
      </c>
      <c r="H166" s="191">
        <v>0</v>
      </c>
      <c r="I166" s="192">
        <f t="shared" ref="I166" si="116">H166*F166</f>
        <v>0</v>
      </c>
      <c r="J166" s="193">
        <v>0</v>
      </c>
      <c r="K166" s="194">
        <f t="shared" si="113"/>
        <v>0</v>
      </c>
      <c r="L166" s="195">
        <v>55</v>
      </c>
      <c r="M166" s="196">
        <f t="shared" si="114"/>
        <v>0</v>
      </c>
      <c r="N166" s="197">
        <f t="shared" si="115"/>
        <v>0</v>
      </c>
      <c r="O166" s="198"/>
      <c r="P166" s="18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</row>
    <row r="167" spans="1:77" s="41" customFormat="1" ht="15.75">
      <c r="A167" s="64" t="str">
        <f>IF(F167&lt;&gt;"",1+MAX($A$2:A138),"")</f>
        <v/>
      </c>
      <c r="B167" s="34"/>
      <c r="C167" s="15"/>
      <c r="D167" s="57"/>
      <c r="E167" s="45"/>
      <c r="F167" s="57"/>
      <c r="G167" s="58"/>
      <c r="H167" s="44"/>
      <c r="I167" s="46"/>
      <c r="J167" s="46"/>
      <c r="K167" s="46"/>
      <c r="L167" s="59"/>
      <c r="M167" s="60"/>
      <c r="N167" s="61"/>
      <c r="O167" s="17"/>
      <c r="P167" s="18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</row>
    <row r="168" spans="1:77" s="42" customFormat="1" ht="18.75">
      <c r="A168" s="333" t="s">
        <v>170</v>
      </c>
      <c r="B168" s="334"/>
      <c r="C168" s="334"/>
      <c r="D168" s="334"/>
      <c r="E168" s="334"/>
      <c r="F168" s="334"/>
      <c r="G168" s="334"/>
      <c r="H168" s="334"/>
      <c r="I168" s="334"/>
      <c r="J168" s="334"/>
      <c r="K168" s="334"/>
      <c r="L168" s="334"/>
      <c r="M168" s="334"/>
      <c r="N168" s="334"/>
      <c r="O168" s="334"/>
      <c r="P168" s="56">
        <f>SUM(N169:N988)</f>
        <v>0</v>
      </c>
      <c r="Q168" s="2"/>
      <c r="R168" s="2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</row>
    <row r="169" spans="1:77" s="41" customFormat="1" ht="15.75">
      <c r="A169" s="199" t="str">
        <f>IF(F169&lt;&gt;"",1+MAX($A$2:A168),"")</f>
        <v/>
      </c>
      <c r="B169" s="213"/>
      <c r="C169" s="208"/>
      <c r="D169" s="217"/>
      <c r="E169" s="204"/>
      <c r="F169" s="217"/>
      <c r="G169" s="215"/>
      <c r="H169" s="209"/>
      <c r="I169" s="201"/>
      <c r="J169" s="201"/>
      <c r="K169" s="201"/>
      <c r="L169" s="202"/>
      <c r="M169" s="210"/>
      <c r="N169" s="218"/>
      <c r="O169" s="200"/>
      <c r="P169" s="18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</row>
    <row r="170" spans="1:77" s="41" customFormat="1" ht="15.75">
      <c r="A170" s="199" t="str">
        <f>IF(F170&lt;&gt;"",1+MAX($A$2:A169),"")</f>
        <v/>
      </c>
      <c r="B170" s="342" t="s">
        <v>171</v>
      </c>
      <c r="C170" s="203" t="s">
        <v>172</v>
      </c>
      <c r="D170" s="217"/>
      <c r="E170" s="204"/>
      <c r="F170" s="217"/>
      <c r="G170" s="215"/>
      <c r="H170" s="209"/>
      <c r="I170" s="201"/>
      <c r="J170" s="205"/>
      <c r="K170" s="212"/>
      <c r="L170" s="214"/>
      <c r="M170" s="210"/>
      <c r="N170" s="218"/>
      <c r="O170" s="200"/>
      <c r="P170" s="18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</row>
    <row r="171" spans="1:77" s="41" customFormat="1" ht="15.75">
      <c r="A171" s="64">
        <f>IF(F171&lt;&gt;"",1+MAX($A$2:A170),"")</f>
        <v>142</v>
      </c>
      <c r="B171" s="343"/>
      <c r="C171" s="216" t="s">
        <v>174</v>
      </c>
      <c r="D171" s="217">
        <v>6.83</v>
      </c>
      <c r="E171" s="204">
        <v>0.05</v>
      </c>
      <c r="F171" s="217">
        <f t="shared" ref="F171:F175" si="117">(1+E171)*D171</f>
        <v>7.1715</v>
      </c>
      <c r="G171" s="215" t="s">
        <v>13</v>
      </c>
      <c r="H171" s="209">
        <v>0</v>
      </c>
      <c r="I171" s="201">
        <f t="shared" ref="I171:I175" si="118">H171*F171</f>
        <v>0</v>
      </c>
      <c r="J171" s="205">
        <v>0</v>
      </c>
      <c r="K171" s="212">
        <f t="shared" ref="K171:K175" si="119">J171*F171</f>
        <v>0</v>
      </c>
      <c r="L171" s="214">
        <v>55</v>
      </c>
      <c r="M171" s="210">
        <f t="shared" ref="M171:M175" si="120">L171*K171</f>
        <v>0</v>
      </c>
      <c r="N171" s="218">
        <f t="shared" ref="N171:N175" si="121">M171+I171</f>
        <v>0</v>
      </c>
      <c r="O171" s="200"/>
      <c r="P171" s="18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</row>
    <row r="172" spans="1:77" s="41" customFormat="1" ht="15.75">
      <c r="A172" s="64">
        <f>IF(F172&lt;&gt;"",1+MAX($A$2:A171),"")</f>
        <v>143</v>
      </c>
      <c r="B172" s="343"/>
      <c r="C172" s="216" t="s">
        <v>175</v>
      </c>
      <c r="D172" s="217">
        <v>207.6</v>
      </c>
      <c r="E172" s="204">
        <v>0.05</v>
      </c>
      <c r="F172" s="217">
        <f t="shared" si="117"/>
        <v>217.98</v>
      </c>
      <c r="G172" s="215" t="s">
        <v>13</v>
      </c>
      <c r="H172" s="209">
        <v>0</v>
      </c>
      <c r="I172" s="201">
        <f t="shared" si="118"/>
        <v>0</v>
      </c>
      <c r="J172" s="205">
        <v>0</v>
      </c>
      <c r="K172" s="212">
        <f t="shared" si="119"/>
        <v>0</v>
      </c>
      <c r="L172" s="214">
        <v>55</v>
      </c>
      <c r="M172" s="210">
        <f t="shared" si="120"/>
        <v>0</v>
      </c>
      <c r="N172" s="218">
        <f t="shared" si="121"/>
        <v>0</v>
      </c>
      <c r="O172" s="200"/>
      <c r="P172" s="18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</row>
    <row r="173" spans="1:77" s="41" customFormat="1" ht="15.75">
      <c r="A173" s="64">
        <f>IF(F173&lt;&gt;"",1+MAX($A$2:A172),"")</f>
        <v>144</v>
      </c>
      <c r="B173" s="343"/>
      <c r="C173" s="216" t="s">
        <v>176</v>
      </c>
      <c r="D173" s="217">
        <v>118.5</v>
      </c>
      <c r="E173" s="204">
        <v>0.05</v>
      </c>
      <c r="F173" s="217">
        <f t="shared" si="117"/>
        <v>124.42500000000001</v>
      </c>
      <c r="G173" s="215" t="s">
        <v>13</v>
      </c>
      <c r="H173" s="209">
        <v>0</v>
      </c>
      <c r="I173" s="201">
        <f t="shared" si="118"/>
        <v>0</v>
      </c>
      <c r="J173" s="205">
        <v>0</v>
      </c>
      <c r="K173" s="212">
        <f t="shared" si="119"/>
        <v>0</v>
      </c>
      <c r="L173" s="214">
        <v>55</v>
      </c>
      <c r="M173" s="210">
        <f t="shared" si="120"/>
        <v>0</v>
      </c>
      <c r="N173" s="218">
        <f t="shared" si="121"/>
        <v>0</v>
      </c>
      <c r="O173" s="200"/>
      <c r="P173" s="18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</row>
    <row r="174" spans="1:77" s="41" customFormat="1" ht="15.75">
      <c r="A174" s="64">
        <f>IF(F174&lt;&gt;"",1+MAX($A$2:A173),"")</f>
        <v>145</v>
      </c>
      <c r="B174" s="343"/>
      <c r="C174" s="216" t="s">
        <v>177</v>
      </c>
      <c r="D174" s="217">
        <v>117.37</v>
      </c>
      <c r="E174" s="204">
        <v>0.05</v>
      </c>
      <c r="F174" s="217">
        <f t="shared" si="117"/>
        <v>123.23850000000002</v>
      </c>
      <c r="G174" s="215" t="s">
        <v>13</v>
      </c>
      <c r="H174" s="209">
        <v>0</v>
      </c>
      <c r="I174" s="201">
        <f t="shared" si="118"/>
        <v>0</v>
      </c>
      <c r="J174" s="205">
        <v>0</v>
      </c>
      <c r="K174" s="212">
        <f t="shared" si="119"/>
        <v>0</v>
      </c>
      <c r="L174" s="214">
        <v>55</v>
      </c>
      <c r="M174" s="210">
        <f t="shared" si="120"/>
        <v>0</v>
      </c>
      <c r="N174" s="218">
        <f t="shared" si="121"/>
        <v>0</v>
      </c>
      <c r="O174" s="200"/>
      <c r="P174" s="18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</row>
    <row r="175" spans="1:77" s="41" customFormat="1" ht="15.75">
      <c r="A175" s="64">
        <f>IF(F175&lt;&gt;"",1+MAX($A$2:A174),"")</f>
        <v>146</v>
      </c>
      <c r="B175" s="343"/>
      <c r="C175" s="216" t="s">
        <v>178</v>
      </c>
      <c r="D175" s="217">
        <v>47.15</v>
      </c>
      <c r="E175" s="204">
        <v>0.05</v>
      </c>
      <c r="F175" s="217">
        <f t="shared" si="117"/>
        <v>49.5075</v>
      </c>
      <c r="G175" s="215" t="s">
        <v>13</v>
      </c>
      <c r="H175" s="209">
        <v>0</v>
      </c>
      <c r="I175" s="201">
        <f t="shared" si="118"/>
        <v>0</v>
      </c>
      <c r="J175" s="205">
        <v>0</v>
      </c>
      <c r="K175" s="212">
        <f t="shared" si="119"/>
        <v>0</v>
      </c>
      <c r="L175" s="214">
        <v>55</v>
      </c>
      <c r="M175" s="210">
        <f t="shared" si="120"/>
        <v>0</v>
      </c>
      <c r="N175" s="218">
        <f t="shared" si="121"/>
        <v>0</v>
      </c>
      <c r="O175" s="200"/>
      <c r="P175" s="18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</row>
    <row r="176" spans="1:77" s="41" customFormat="1" ht="15.75">
      <c r="A176" s="64">
        <f>IF(F176&lt;&gt;"",1+MAX($A$2:A175),"")</f>
        <v>147</v>
      </c>
      <c r="B176" s="343"/>
      <c r="C176" s="216" t="s">
        <v>179</v>
      </c>
      <c r="D176" s="217">
        <v>39.76</v>
      </c>
      <c r="E176" s="204">
        <v>0.05</v>
      </c>
      <c r="F176" s="217">
        <f t="shared" ref="F176:F177" si="122">(1+E176)*D176</f>
        <v>41.747999999999998</v>
      </c>
      <c r="G176" s="215" t="s">
        <v>13</v>
      </c>
      <c r="H176" s="209">
        <v>0</v>
      </c>
      <c r="I176" s="201">
        <f t="shared" ref="I176:I177" si="123">H176*F176</f>
        <v>0</v>
      </c>
      <c r="J176" s="205">
        <v>0</v>
      </c>
      <c r="K176" s="212">
        <f t="shared" ref="K176:K177" si="124">J176*F176</f>
        <v>0</v>
      </c>
      <c r="L176" s="214">
        <v>55</v>
      </c>
      <c r="M176" s="210">
        <f t="shared" ref="M176:M177" si="125">L176*K176</f>
        <v>0</v>
      </c>
      <c r="N176" s="218">
        <f t="shared" ref="N176:N177" si="126">M176+I176</f>
        <v>0</v>
      </c>
      <c r="O176" s="200"/>
      <c r="P176" s="18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</row>
    <row r="177" spans="1:77" s="41" customFormat="1" ht="15.75">
      <c r="A177" s="64">
        <f>IF(F177&lt;&gt;"",1+MAX($A$2:A176),"")</f>
        <v>148</v>
      </c>
      <c r="B177" s="343"/>
      <c r="C177" s="216" t="s">
        <v>180</v>
      </c>
      <c r="D177" s="217">
        <v>350.32</v>
      </c>
      <c r="E177" s="204">
        <v>0.05</v>
      </c>
      <c r="F177" s="217">
        <f t="shared" si="122"/>
        <v>367.83600000000001</v>
      </c>
      <c r="G177" s="215" t="s">
        <v>25</v>
      </c>
      <c r="H177" s="209">
        <v>0</v>
      </c>
      <c r="I177" s="201">
        <f t="shared" si="123"/>
        <v>0</v>
      </c>
      <c r="J177" s="205">
        <v>0</v>
      </c>
      <c r="K177" s="212">
        <f t="shared" si="124"/>
        <v>0</v>
      </c>
      <c r="L177" s="214">
        <v>55</v>
      </c>
      <c r="M177" s="210">
        <f t="shared" si="125"/>
        <v>0</v>
      </c>
      <c r="N177" s="218">
        <f t="shared" si="126"/>
        <v>0</v>
      </c>
      <c r="O177" s="200"/>
      <c r="P177" s="18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</row>
    <row r="178" spans="1:77" s="41" customFormat="1" ht="15.75">
      <c r="A178" s="64">
        <f>IF(F178&lt;&gt;"",1+MAX($A$2:A177),"")</f>
        <v>149</v>
      </c>
      <c r="B178" s="343"/>
      <c r="C178" s="216" t="s">
        <v>195</v>
      </c>
      <c r="D178" s="217">
        <v>91.2</v>
      </c>
      <c r="E178" s="204">
        <v>0.05</v>
      </c>
      <c r="F178" s="217">
        <f t="shared" ref="F178" si="127">(1+E178)*D178</f>
        <v>95.76</v>
      </c>
      <c r="G178" s="215" t="s">
        <v>13</v>
      </c>
      <c r="H178" s="209">
        <v>0</v>
      </c>
      <c r="I178" s="201">
        <f t="shared" ref="I178" si="128">H178*F178</f>
        <v>0</v>
      </c>
      <c r="J178" s="205">
        <v>0</v>
      </c>
      <c r="K178" s="212">
        <f t="shared" ref="K178" si="129">J178*F178</f>
        <v>0</v>
      </c>
      <c r="L178" s="214">
        <v>55</v>
      </c>
      <c r="M178" s="210">
        <f t="shared" ref="M178" si="130">L178*K178</f>
        <v>0</v>
      </c>
      <c r="N178" s="218">
        <f t="shared" ref="N178" si="131">M178+I178</f>
        <v>0</v>
      </c>
      <c r="O178" s="200"/>
      <c r="P178" s="18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</row>
    <row r="179" spans="1:77" s="41" customFormat="1" ht="15.75">
      <c r="A179" s="64" t="str">
        <f>IF(F179&lt;&gt;"",1+MAX($A$2:A178),"")</f>
        <v/>
      </c>
      <c r="B179" s="343"/>
      <c r="C179" s="211" t="s">
        <v>173</v>
      </c>
      <c r="D179" s="217"/>
      <c r="E179" s="204"/>
      <c r="F179" s="217"/>
      <c r="G179" s="215"/>
      <c r="H179" s="209"/>
      <c r="I179" s="201"/>
      <c r="J179" s="205"/>
      <c r="K179" s="212"/>
      <c r="L179" s="214"/>
      <c r="M179" s="210"/>
      <c r="N179" s="218"/>
      <c r="O179" s="200"/>
      <c r="P179" s="18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</row>
    <row r="180" spans="1:77" s="41" customFormat="1" ht="15.75">
      <c r="A180" s="64">
        <f>IF(F180&lt;&gt;"",1+MAX($A$2:A179),"")</f>
        <v>150</v>
      </c>
      <c r="B180" s="343"/>
      <c r="C180" s="216" t="s">
        <v>181</v>
      </c>
      <c r="D180" s="217">
        <v>4</v>
      </c>
      <c r="E180" s="204">
        <v>0.05</v>
      </c>
      <c r="F180" s="217">
        <f t="shared" ref="F180:F181" si="132">(1+E180)*D180</f>
        <v>4.2</v>
      </c>
      <c r="G180" s="215" t="s">
        <v>14</v>
      </c>
      <c r="H180" s="209">
        <v>0</v>
      </c>
      <c r="I180" s="201">
        <f t="shared" ref="I180:I181" si="133">H180*F180</f>
        <v>0</v>
      </c>
      <c r="J180" s="205">
        <v>0</v>
      </c>
      <c r="K180" s="212">
        <f t="shared" ref="K180:K181" si="134">J180*F180</f>
        <v>0</v>
      </c>
      <c r="L180" s="214">
        <v>55</v>
      </c>
      <c r="M180" s="210">
        <f t="shared" ref="M180:M181" si="135">L180*K180</f>
        <v>0</v>
      </c>
      <c r="N180" s="218">
        <f t="shared" ref="N180:N181" si="136">M180+I180</f>
        <v>0</v>
      </c>
      <c r="O180" s="200"/>
      <c r="P180" s="18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</row>
    <row r="181" spans="1:77" s="41" customFormat="1" ht="15.75">
      <c r="A181" s="64">
        <f>IF(F181&lt;&gt;"",1+MAX($A$2:A180),"")</f>
        <v>151</v>
      </c>
      <c r="B181" s="343"/>
      <c r="C181" s="216" t="s">
        <v>182</v>
      </c>
      <c r="D181" s="217">
        <v>4</v>
      </c>
      <c r="E181" s="204">
        <v>0.05</v>
      </c>
      <c r="F181" s="217">
        <f t="shared" si="132"/>
        <v>4.2</v>
      </c>
      <c r="G181" s="215" t="s">
        <v>14</v>
      </c>
      <c r="H181" s="209">
        <v>0</v>
      </c>
      <c r="I181" s="201">
        <f t="shared" si="133"/>
        <v>0</v>
      </c>
      <c r="J181" s="205">
        <v>0</v>
      </c>
      <c r="K181" s="212">
        <f t="shared" si="134"/>
        <v>0</v>
      </c>
      <c r="L181" s="214">
        <v>55</v>
      </c>
      <c r="M181" s="210">
        <f t="shared" si="135"/>
        <v>0</v>
      </c>
      <c r="N181" s="218">
        <f t="shared" si="136"/>
        <v>0</v>
      </c>
      <c r="O181" s="200"/>
      <c r="P181" s="18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</row>
    <row r="182" spans="1:77" s="41" customFormat="1" ht="15.75">
      <c r="A182" s="64" t="str">
        <f>IF(F182&lt;&gt;"",1+MAX($A$2:A181),"")</f>
        <v/>
      </c>
      <c r="B182" s="347" t="s">
        <v>235</v>
      </c>
      <c r="C182" s="203" t="s">
        <v>236</v>
      </c>
      <c r="D182" s="188"/>
      <c r="E182" s="189"/>
      <c r="F182" s="188"/>
      <c r="G182" s="190"/>
      <c r="H182" s="191"/>
      <c r="I182" s="192"/>
      <c r="J182" s="192"/>
      <c r="K182" s="192"/>
      <c r="L182" s="228"/>
      <c r="M182" s="229"/>
      <c r="N182" s="197"/>
      <c r="O182" s="198"/>
      <c r="P182" s="18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</row>
    <row r="183" spans="1:77" s="41" customFormat="1" ht="15.75">
      <c r="A183" s="64">
        <f>IF(F183&lt;&gt;"",1+MAX($A$2:A182),"")</f>
        <v>152</v>
      </c>
      <c r="B183" s="313"/>
      <c r="C183" s="226" t="s">
        <v>237</v>
      </c>
      <c r="D183" s="188">
        <f>(83.21/1.33)*9</f>
        <v>563.07518796992474</v>
      </c>
      <c r="E183" s="189">
        <v>0</v>
      </c>
      <c r="F183" s="188">
        <f t="shared" ref="F183:F246" si="137">(1+E183)*D183</f>
        <v>563.07518796992474</v>
      </c>
      <c r="G183" s="190" t="s">
        <v>14</v>
      </c>
      <c r="H183" s="191">
        <v>0</v>
      </c>
      <c r="I183" s="192">
        <f t="shared" ref="I183:I246" si="138">H183*F183</f>
        <v>0</v>
      </c>
      <c r="J183" s="193">
        <v>0</v>
      </c>
      <c r="K183" s="194">
        <f t="shared" ref="K183:K246" si="139">J183*F183</f>
        <v>0</v>
      </c>
      <c r="L183" s="195">
        <v>55</v>
      </c>
      <c r="M183" s="196">
        <f t="shared" ref="M183:M246" si="140">L183*K183</f>
        <v>0</v>
      </c>
      <c r="N183" s="197">
        <f t="shared" ref="N183:N246" si="141">M183+I183</f>
        <v>0</v>
      </c>
      <c r="O183" s="198"/>
      <c r="P183" s="18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</row>
    <row r="184" spans="1:77" s="41" customFormat="1" ht="15.75">
      <c r="A184" s="64">
        <f>IF(F184&lt;&gt;"",1+MAX($A$2:A183),"")</f>
        <v>153</v>
      </c>
      <c r="B184" s="313"/>
      <c r="C184" s="226" t="s">
        <v>238</v>
      </c>
      <c r="D184" s="188">
        <f>((47.93/1.33)*9.67)+((79.58/1.33)*9.67*8)</f>
        <v>4977.2871428571425</v>
      </c>
      <c r="E184" s="189">
        <v>0</v>
      </c>
      <c r="F184" s="188">
        <f t="shared" si="137"/>
        <v>4977.2871428571425</v>
      </c>
      <c r="G184" s="190" t="s">
        <v>14</v>
      </c>
      <c r="H184" s="191">
        <v>0</v>
      </c>
      <c r="I184" s="192">
        <f t="shared" si="138"/>
        <v>0</v>
      </c>
      <c r="J184" s="193">
        <v>0</v>
      </c>
      <c r="K184" s="194">
        <f t="shared" si="139"/>
        <v>0</v>
      </c>
      <c r="L184" s="195">
        <v>55</v>
      </c>
      <c r="M184" s="196">
        <f t="shared" si="140"/>
        <v>0</v>
      </c>
      <c r="N184" s="197">
        <f t="shared" si="141"/>
        <v>0</v>
      </c>
      <c r="O184" s="198"/>
      <c r="P184" s="18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</row>
    <row r="185" spans="1:77" s="41" customFormat="1" ht="15.75">
      <c r="A185" s="64">
        <f>IF(F185&lt;&gt;"",1+MAX($A$2:A184),"")</f>
        <v>154</v>
      </c>
      <c r="B185" s="313"/>
      <c r="C185" s="226" t="s">
        <v>239</v>
      </c>
      <c r="D185" s="188">
        <f>(29.74/1.33)*9.83</f>
        <v>219.80766917293232</v>
      </c>
      <c r="E185" s="189">
        <v>0</v>
      </c>
      <c r="F185" s="188">
        <f t="shared" si="137"/>
        <v>219.80766917293232</v>
      </c>
      <c r="G185" s="190" t="s">
        <v>14</v>
      </c>
      <c r="H185" s="191">
        <v>0</v>
      </c>
      <c r="I185" s="192">
        <f t="shared" si="138"/>
        <v>0</v>
      </c>
      <c r="J185" s="193">
        <v>0</v>
      </c>
      <c r="K185" s="194">
        <f t="shared" si="139"/>
        <v>0</v>
      </c>
      <c r="L185" s="195">
        <v>55</v>
      </c>
      <c r="M185" s="196">
        <f t="shared" si="140"/>
        <v>0</v>
      </c>
      <c r="N185" s="197">
        <f t="shared" si="141"/>
        <v>0</v>
      </c>
      <c r="O185" s="198"/>
      <c r="P185" s="18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</row>
    <row r="186" spans="1:77" s="41" customFormat="1" ht="15.75">
      <c r="A186" s="64">
        <f>IF(F186&lt;&gt;"",1+MAX($A$2:A185),"")</f>
        <v>155</v>
      </c>
      <c r="B186" s="313"/>
      <c r="C186" s="226" t="s">
        <v>240</v>
      </c>
      <c r="D186" s="188">
        <f>(69.84/1.33)*10</f>
        <v>525.11278195488717</v>
      </c>
      <c r="E186" s="189">
        <v>0</v>
      </c>
      <c r="F186" s="188">
        <f t="shared" si="137"/>
        <v>525.11278195488717</v>
      </c>
      <c r="G186" s="190" t="s">
        <v>14</v>
      </c>
      <c r="H186" s="191">
        <v>0</v>
      </c>
      <c r="I186" s="192">
        <f t="shared" si="138"/>
        <v>0</v>
      </c>
      <c r="J186" s="193">
        <v>0</v>
      </c>
      <c r="K186" s="194">
        <f t="shared" si="139"/>
        <v>0</v>
      </c>
      <c r="L186" s="195">
        <v>55</v>
      </c>
      <c r="M186" s="196">
        <f t="shared" si="140"/>
        <v>0</v>
      </c>
      <c r="N186" s="197">
        <f t="shared" si="141"/>
        <v>0</v>
      </c>
      <c r="O186" s="198"/>
      <c r="P186" s="18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</row>
    <row r="187" spans="1:77" s="41" customFormat="1" ht="15.75">
      <c r="A187" s="64">
        <f>IF(F187&lt;&gt;"",1+MAX($A$2:A186),"")</f>
        <v>156</v>
      </c>
      <c r="B187" s="313"/>
      <c r="C187" s="226" t="s">
        <v>241</v>
      </c>
      <c r="D187" s="188">
        <f>(49.43/1.33)*10.17*4</f>
        <v>1511.8890225563907</v>
      </c>
      <c r="E187" s="189">
        <v>0</v>
      </c>
      <c r="F187" s="188">
        <f t="shared" si="137"/>
        <v>1511.8890225563907</v>
      </c>
      <c r="G187" s="190" t="s">
        <v>14</v>
      </c>
      <c r="H187" s="191">
        <v>0</v>
      </c>
      <c r="I187" s="192">
        <f t="shared" si="138"/>
        <v>0</v>
      </c>
      <c r="J187" s="193">
        <v>0</v>
      </c>
      <c r="K187" s="194">
        <f t="shared" si="139"/>
        <v>0</v>
      </c>
      <c r="L187" s="195">
        <v>55</v>
      </c>
      <c r="M187" s="196">
        <f t="shared" si="140"/>
        <v>0</v>
      </c>
      <c r="N187" s="197">
        <f t="shared" si="141"/>
        <v>0</v>
      </c>
      <c r="O187" s="198"/>
      <c r="P187" s="18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</row>
    <row r="188" spans="1:77" s="41" customFormat="1" ht="15.75">
      <c r="A188" s="64">
        <f>IF(F188&lt;&gt;"",1+MAX($A$2:A187),"")</f>
        <v>157</v>
      </c>
      <c r="B188" s="313"/>
      <c r="C188" s="226" t="s">
        <v>242</v>
      </c>
      <c r="D188" s="188">
        <f>(58.41/1.33)*10.25</f>
        <v>450.15225563909769</v>
      </c>
      <c r="E188" s="189">
        <v>0</v>
      </c>
      <c r="F188" s="188">
        <f t="shared" si="137"/>
        <v>450.15225563909769</v>
      </c>
      <c r="G188" s="190" t="s">
        <v>14</v>
      </c>
      <c r="H188" s="191">
        <v>0</v>
      </c>
      <c r="I188" s="192">
        <f t="shared" si="138"/>
        <v>0</v>
      </c>
      <c r="J188" s="193">
        <v>0</v>
      </c>
      <c r="K188" s="194">
        <f t="shared" si="139"/>
        <v>0</v>
      </c>
      <c r="L188" s="195">
        <v>55</v>
      </c>
      <c r="M188" s="196">
        <f t="shared" si="140"/>
        <v>0</v>
      </c>
      <c r="N188" s="197">
        <f t="shared" si="141"/>
        <v>0</v>
      </c>
      <c r="O188" s="198"/>
      <c r="P188" s="18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</row>
    <row r="189" spans="1:77" s="41" customFormat="1" ht="15.75">
      <c r="A189" s="64">
        <f>IF(F189&lt;&gt;"",1+MAX($A$2:A188),"")</f>
        <v>158</v>
      </c>
      <c r="B189" s="313"/>
      <c r="C189" s="226" t="s">
        <v>243</v>
      </c>
      <c r="D189" s="188">
        <f>(41.46/1.33)*11.33</f>
        <v>353.18932330827067</v>
      </c>
      <c r="E189" s="189">
        <v>0</v>
      </c>
      <c r="F189" s="188">
        <f t="shared" si="137"/>
        <v>353.18932330827067</v>
      </c>
      <c r="G189" s="190" t="s">
        <v>14</v>
      </c>
      <c r="H189" s="191">
        <v>0</v>
      </c>
      <c r="I189" s="192">
        <f t="shared" si="138"/>
        <v>0</v>
      </c>
      <c r="J189" s="193">
        <v>0</v>
      </c>
      <c r="K189" s="194">
        <f t="shared" si="139"/>
        <v>0</v>
      </c>
      <c r="L189" s="195">
        <v>55</v>
      </c>
      <c r="M189" s="196">
        <f t="shared" si="140"/>
        <v>0</v>
      </c>
      <c r="N189" s="197">
        <f t="shared" si="141"/>
        <v>0</v>
      </c>
      <c r="O189" s="198"/>
      <c r="P189" s="18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</row>
    <row r="190" spans="1:77" s="41" customFormat="1" ht="15.75">
      <c r="A190" s="64">
        <f>IF(F190&lt;&gt;"",1+MAX($A$2:A189),"")</f>
        <v>159</v>
      </c>
      <c r="B190" s="313"/>
      <c r="C190" s="226" t="s">
        <v>244</v>
      </c>
      <c r="D190" s="188">
        <f>(12.6/1.33)*11.83</f>
        <v>112.07368421052631</v>
      </c>
      <c r="E190" s="189">
        <v>0</v>
      </c>
      <c r="F190" s="188">
        <f t="shared" si="137"/>
        <v>112.07368421052631</v>
      </c>
      <c r="G190" s="190" t="s">
        <v>14</v>
      </c>
      <c r="H190" s="191">
        <v>0</v>
      </c>
      <c r="I190" s="192">
        <f t="shared" si="138"/>
        <v>0</v>
      </c>
      <c r="J190" s="193">
        <v>0</v>
      </c>
      <c r="K190" s="194">
        <f t="shared" si="139"/>
        <v>0</v>
      </c>
      <c r="L190" s="195">
        <v>55</v>
      </c>
      <c r="M190" s="196">
        <f t="shared" si="140"/>
        <v>0</v>
      </c>
      <c r="N190" s="197">
        <f t="shared" si="141"/>
        <v>0</v>
      </c>
      <c r="O190" s="198"/>
      <c r="P190" s="18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</row>
    <row r="191" spans="1:77" s="41" customFormat="1" ht="15.75">
      <c r="A191" s="64">
        <f>IF(F191&lt;&gt;"",1+MAX($A$2:A190),"")</f>
        <v>160</v>
      </c>
      <c r="B191" s="313"/>
      <c r="C191" s="226" t="s">
        <v>245</v>
      </c>
      <c r="D191" s="188">
        <f>(67.58/1.33)*8.17</f>
        <v>415.13428571428562</v>
      </c>
      <c r="E191" s="189">
        <v>0</v>
      </c>
      <c r="F191" s="188">
        <f t="shared" si="137"/>
        <v>415.13428571428562</v>
      </c>
      <c r="G191" s="190" t="s">
        <v>14</v>
      </c>
      <c r="H191" s="191">
        <v>0</v>
      </c>
      <c r="I191" s="192">
        <f t="shared" si="138"/>
        <v>0</v>
      </c>
      <c r="J191" s="193">
        <v>0</v>
      </c>
      <c r="K191" s="194">
        <f t="shared" si="139"/>
        <v>0</v>
      </c>
      <c r="L191" s="195">
        <v>55</v>
      </c>
      <c r="M191" s="196">
        <f t="shared" si="140"/>
        <v>0</v>
      </c>
      <c r="N191" s="197">
        <f t="shared" si="141"/>
        <v>0</v>
      </c>
      <c r="O191" s="198"/>
      <c r="P191" s="18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</row>
    <row r="192" spans="1:77" s="41" customFormat="1" ht="15.75">
      <c r="A192" s="64">
        <f>IF(F192&lt;&gt;"",1+MAX($A$2:A191),"")</f>
        <v>161</v>
      </c>
      <c r="B192" s="313"/>
      <c r="C192" s="226" t="s">
        <v>246</v>
      </c>
      <c r="D192" s="188">
        <f>((56.27/1.33)*10)</f>
        <v>423.08270676691728</v>
      </c>
      <c r="E192" s="189">
        <v>0</v>
      </c>
      <c r="F192" s="188">
        <f t="shared" si="137"/>
        <v>423.08270676691728</v>
      </c>
      <c r="G192" s="190" t="s">
        <v>14</v>
      </c>
      <c r="H192" s="191">
        <v>0</v>
      </c>
      <c r="I192" s="192">
        <f t="shared" si="138"/>
        <v>0</v>
      </c>
      <c r="J192" s="193">
        <v>0</v>
      </c>
      <c r="K192" s="194">
        <f t="shared" si="139"/>
        <v>0</v>
      </c>
      <c r="L192" s="195">
        <v>55</v>
      </c>
      <c r="M192" s="196">
        <f t="shared" si="140"/>
        <v>0</v>
      </c>
      <c r="N192" s="197">
        <f t="shared" si="141"/>
        <v>0</v>
      </c>
      <c r="O192" s="198"/>
      <c r="P192" s="18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</row>
    <row r="193" spans="1:77" s="41" customFormat="1" ht="15.75">
      <c r="A193" s="64">
        <f>IF(F193&lt;&gt;"",1+MAX($A$2:A192),"")</f>
        <v>162</v>
      </c>
      <c r="B193" s="313"/>
      <c r="C193" s="226" t="s">
        <v>247</v>
      </c>
      <c r="D193" s="188">
        <f>((179.03/1.33)*9.67)+((163.96/1.33)*9.67*8)</f>
        <v>10838.47045112782</v>
      </c>
      <c r="E193" s="189">
        <v>0</v>
      </c>
      <c r="F193" s="188">
        <f t="shared" si="137"/>
        <v>10838.47045112782</v>
      </c>
      <c r="G193" s="190" t="s">
        <v>14</v>
      </c>
      <c r="H193" s="191">
        <v>0</v>
      </c>
      <c r="I193" s="192">
        <f t="shared" si="138"/>
        <v>0</v>
      </c>
      <c r="J193" s="193">
        <v>0</v>
      </c>
      <c r="K193" s="194">
        <f t="shared" si="139"/>
        <v>0</v>
      </c>
      <c r="L193" s="195">
        <v>55</v>
      </c>
      <c r="M193" s="196">
        <f t="shared" si="140"/>
        <v>0</v>
      </c>
      <c r="N193" s="197">
        <f t="shared" si="141"/>
        <v>0</v>
      </c>
      <c r="O193" s="198"/>
      <c r="P193" s="18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</row>
    <row r="194" spans="1:77" s="41" customFormat="1" ht="15.75">
      <c r="A194" s="64">
        <f>IF(F194&lt;&gt;"",1+MAX($A$2:A193),"")</f>
        <v>163</v>
      </c>
      <c r="B194" s="313"/>
      <c r="C194" s="226" t="s">
        <v>248</v>
      </c>
      <c r="D194" s="188">
        <f>(191.78/1.33)*9.83</f>
        <v>1417.4416541353382</v>
      </c>
      <c r="E194" s="189">
        <v>0</v>
      </c>
      <c r="F194" s="188">
        <f t="shared" si="137"/>
        <v>1417.4416541353382</v>
      </c>
      <c r="G194" s="190" t="s">
        <v>14</v>
      </c>
      <c r="H194" s="191">
        <v>0</v>
      </c>
      <c r="I194" s="192">
        <f t="shared" si="138"/>
        <v>0</v>
      </c>
      <c r="J194" s="193">
        <v>0</v>
      </c>
      <c r="K194" s="194">
        <f t="shared" si="139"/>
        <v>0</v>
      </c>
      <c r="L194" s="195">
        <v>55</v>
      </c>
      <c r="M194" s="196">
        <f t="shared" si="140"/>
        <v>0</v>
      </c>
      <c r="N194" s="197">
        <f t="shared" si="141"/>
        <v>0</v>
      </c>
      <c r="O194" s="198"/>
      <c r="P194" s="18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</row>
    <row r="195" spans="1:77" s="41" customFormat="1" ht="15.75">
      <c r="A195" s="64">
        <f>IF(F195&lt;&gt;"",1+MAX($A$2:A194),"")</f>
        <v>164</v>
      </c>
      <c r="B195" s="313"/>
      <c r="C195" s="226" t="s">
        <v>249</v>
      </c>
      <c r="D195" s="188">
        <f>(69.84/1.33)*10</f>
        <v>525.11278195488717</v>
      </c>
      <c r="E195" s="189">
        <v>0</v>
      </c>
      <c r="F195" s="188">
        <f t="shared" si="137"/>
        <v>525.11278195488717</v>
      </c>
      <c r="G195" s="190" t="s">
        <v>14</v>
      </c>
      <c r="H195" s="191">
        <v>0</v>
      </c>
      <c r="I195" s="192">
        <f t="shared" si="138"/>
        <v>0</v>
      </c>
      <c r="J195" s="193">
        <v>0</v>
      </c>
      <c r="K195" s="194">
        <f t="shared" si="139"/>
        <v>0</v>
      </c>
      <c r="L195" s="195">
        <v>55</v>
      </c>
      <c r="M195" s="196">
        <f t="shared" si="140"/>
        <v>0</v>
      </c>
      <c r="N195" s="197">
        <f t="shared" si="141"/>
        <v>0</v>
      </c>
      <c r="O195" s="198"/>
      <c r="P195" s="18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</row>
    <row r="196" spans="1:77" s="41" customFormat="1" ht="15.75">
      <c r="A196" s="64">
        <f>IF(F196&lt;&gt;"",1+MAX($A$2:A195),"")</f>
        <v>165</v>
      </c>
      <c r="B196" s="313"/>
      <c r="C196" s="226" t="s">
        <v>250</v>
      </c>
      <c r="D196" s="188">
        <f>(136.86/1.33)*10.17*4</f>
        <v>4186.0637593984966</v>
      </c>
      <c r="E196" s="189">
        <v>0</v>
      </c>
      <c r="F196" s="188">
        <f t="shared" si="137"/>
        <v>4186.0637593984966</v>
      </c>
      <c r="G196" s="190" t="s">
        <v>14</v>
      </c>
      <c r="H196" s="191">
        <v>0</v>
      </c>
      <c r="I196" s="192">
        <f t="shared" si="138"/>
        <v>0</v>
      </c>
      <c r="J196" s="193">
        <v>0</v>
      </c>
      <c r="K196" s="194">
        <f t="shared" si="139"/>
        <v>0</v>
      </c>
      <c r="L196" s="195">
        <v>55</v>
      </c>
      <c r="M196" s="196">
        <f t="shared" si="140"/>
        <v>0</v>
      </c>
      <c r="N196" s="197">
        <f t="shared" si="141"/>
        <v>0</v>
      </c>
      <c r="O196" s="198"/>
      <c r="P196" s="18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</row>
    <row r="197" spans="1:77" s="41" customFormat="1" ht="15.75">
      <c r="A197" s="64">
        <f>IF(F197&lt;&gt;"",1+MAX($A$2:A196),"")</f>
        <v>166</v>
      </c>
      <c r="B197" s="313"/>
      <c r="C197" s="226" t="s">
        <v>251</v>
      </c>
      <c r="D197" s="188">
        <f>(80.25/1.33)*10.25</f>
        <v>618.46804511278185</v>
      </c>
      <c r="E197" s="189">
        <v>0</v>
      </c>
      <c r="F197" s="188">
        <f t="shared" si="137"/>
        <v>618.46804511278185</v>
      </c>
      <c r="G197" s="190" t="s">
        <v>14</v>
      </c>
      <c r="H197" s="191">
        <v>0</v>
      </c>
      <c r="I197" s="192">
        <f t="shared" si="138"/>
        <v>0</v>
      </c>
      <c r="J197" s="193">
        <v>0</v>
      </c>
      <c r="K197" s="194">
        <f t="shared" si="139"/>
        <v>0</v>
      </c>
      <c r="L197" s="195">
        <v>55</v>
      </c>
      <c r="M197" s="196">
        <f t="shared" si="140"/>
        <v>0</v>
      </c>
      <c r="N197" s="197">
        <f t="shared" si="141"/>
        <v>0</v>
      </c>
      <c r="O197" s="198"/>
      <c r="P197" s="18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</row>
    <row r="198" spans="1:77" s="41" customFormat="1" ht="15.75">
      <c r="A198" s="64">
        <f>IF(F198&lt;&gt;"",1+MAX($A$2:A197),"")</f>
        <v>167</v>
      </c>
      <c r="B198" s="313"/>
      <c r="C198" s="226" t="s">
        <v>252</v>
      </c>
      <c r="D198" s="188">
        <f>(14.26/1.33)*11.17</f>
        <v>119.76255639097744</v>
      </c>
      <c r="E198" s="189">
        <v>0</v>
      </c>
      <c r="F198" s="188">
        <f t="shared" si="137"/>
        <v>119.76255639097744</v>
      </c>
      <c r="G198" s="190" t="s">
        <v>14</v>
      </c>
      <c r="H198" s="191">
        <v>0</v>
      </c>
      <c r="I198" s="192">
        <f t="shared" si="138"/>
        <v>0</v>
      </c>
      <c r="J198" s="193">
        <v>0</v>
      </c>
      <c r="K198" s="194">
        <f t="shared" si="139"/>
        <v>0</v>
      </c>
      <c r="L198" s="195">
        <v>55</v>
      </c>
      <c r="M198" s="196">
        <f t="shared" si="140"/>
        <v>0</v>
      </c>
      <c r="N198" s="197">
        <f t="shared" si="141"/>
        <v>0</v>
      </c>
      <c r="O198" s="198"/>
      <c r="P198" s="18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</row>
    <row r="199" spans="1:77" s="41" customFormat="1" ht="15.75">
      <c r="A199" s="64">
        <f>IF(F199&lt;&gt;"",1+MAX($A$2:A198),"")</f>
        <v>168</v>
      </c>
      <c r="B199" s="313"/>
      <c r="C199" s="226" t="s">
        <v>253</v>
      </c>
      <c r="D199" s="188">
        <f>(106.98/1.33)*11.33</f>
        <v>911.34090225563898</v>
      </c>
      <c r="E199" s="189">
        <v>0</v>
      </c>
      <c r="F199" s="188">
        <f t="shared" si="137"/>
        <v>911.34090225563898</v>
      </c>
      <c r="G199" s="190" t="s">
        <v>14</v>
      </c>
      <c r="H199" s="191">
        <v>0</v>
      </c>
      <c r="I199" s="192">
        <f t="shared" si="138"/>
        <v>0</v>
      </c>
      <c r="J199" s="193">
        <v>0</v>
      </c>
      <c r="K199" s="194">
        <f t="shared" si="139"/>
        <v>0</v>
      </c>
      <c r="L199" s="195">
        <v>55</v>
      </c>
      <c r="M199" s="196">
        <f t="shared" si="140"/>
        <v>0</v>
      </c>
      <c r="N199" s="197">
        <f t="shared" si="141"/>
        <v>0</v>
      </c>
      <c r="O199" s="198"/>
      <c r="P199" s="18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</row>
    <row r="200" spans="1:77" s="41" customFormat="1" ht="15.75">
      <c r="A200" s="64">
        <f>IF(F200&lt;&gt;"",1+MAX($A$2:A199),"")</f>
        <v>169</v>
      </c>
      <c r="B200" s="313"/>
      <c r="C200" s="226" t="s">
        <v>254</v>
      </c>
      <c r="D200" s="188">
        <f>(36.62/1.33)*11.83</f>
        <v>325.72526315789469</v>
      </c>
      <c r="E200" s="189">
        <v>0</v>
      </c>
      <c r="F200" s="188">
        <f t="shared" si="137"/>
        <v>325.72526315789469</v>
      </c>
      <c r="G200" s="190" t="s">
        <v>14</v>
      </c>
      <c r="H200" s="191">
        <v>0</v>
      </c>
      <c r="I200" s="192">
        <f t="shared" si="138"/>
        <v>0</v>
      </c>
      <c r="J200" s="193">
        <v>0</v>
      </c>
      <c r="K200" s="194">
        <f t="shared" si="139"/>
        <v>0</v>
      </c>
      <c r="L200" s="195">
        <v>55</v>
      </c>
      <c r="M200" s="196">
        <f t="shared" si="140"/>
        <v>0</v>
      </c>
      <c r="N200" s="197">
        <f t="shared" si="141"/>
        <v>0</v>
      </c>
      <c r="O200" s="198"/>
      <c r="P200" s="18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</row>
    <row r="201" spans="1:77" s="41" customFormat="1" ht="15.75">
      <c r="A201" s="64">
        <f>IF(F201&lt;&gt;"",1+MAX($A$2:A200),"")</f>
        <v>170</v>
      </c>
      <c r="B201" s="313"/>
      <c r="C201" s="226" t="s">
        <v>255</v>
      </c>
      <c r="D201" s="188">
        <f>((41.07/1.33)*9.67)+((46.88/1.33)*9.67*8)</f>
        <v>3025.4012781954884</v>
      </c>
      <c r="E201" s="189">
        <v>0</v>
      </c>
      <c r="F201" s="188">
        <f t="shared" si="137"/>
        <v>3025.4012781954884</v>
      </c>
      <c r="G201" s="190" t="s">
        <v>14</v>
      </c>
      <c r="H201" s="191">
        <v>0</v>
      </c>
      <c r="I201" s="192">
        <f t="shared" si="138"/>
        <v>0</v>
      </c>
      <c r="J201" s="193">
        <v>0</v>
      </c>
      <c r="K201" s="194">
        <f t="shared" si="139"/>
        <v>0</v>
      </c>
      <c r="L201" s="195">
        <v>55</v>
      </c>
      <c r="M201" s="196">
        <f t="shared" si="140"/>
        <v>0</v>
      </c>
      <c r="N201" s="197">
        <f t="shared" si="141"/>
        <v>0</v>
      </c>
      <c r="O201" s="198"/>
      <c r="P201" s="18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</row>
    <row r="202" spans="1:77" s="41" customFormat="1" ht="15.75">
      <c r="A202" s="64">
        <f>IF(F202&lt;&gt;"",1+MAX($A$2:A201),"")</f>
        <v>171</v>
      </c>
      <c r="B202" s="313"/>
      <c r="C202" s="226" t="s">
        <v>256</v>
      </c>
      <c r="D202" s="188">
        <f>(50.7/1.33)*9.83</f>
        <v>374.72255639097745</v>
      </c>
      <c r="E202" s="189">
        <v>0</v>
      </c>
      <c r="F202" s="188">
        <f t="shared" si="137"/>
        <v>374.72255639097745</v>
      </c>
      <c r="G202" s="190" t="s">
        <v>14</v>
      </c>
      <c r="H202" s="191">
        <v>0</v>
      </c>
      <c r="I202" s="192">
        <f t="shared" si="138"/>
        <v>0</v>
      </c>
      <c r="J202" s="193">
        <v>0</v>
      </c>
      <c r="K202" s="194">
        <f t="shared" si="139"/>
        <v>0</v>
      </c>
      <c r="L202" s="195">
        <v>55</v>
      </c>
      <c r="M202" s="196">
        <f t="shared" si="140"/>
        <v>0</v>
      </c>
      <c r="N202" s="197">
        <f t="shared" si="141"/>
        <v>0</v>
      </c>
      <c r="O202" s="198"/>
      <c r="P202" s="18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</row>
    <row r="203" spans="1:77" s="41" customFormat="1" ht="15.75">
      <c r="A203" s="64">
        <f>IF(F203&lt;&gt;"",1+MAX($A$2:A202),"")</f>
        <v>172</v>
      </c>
      <c r="B203" s="313"/>
      <c r="C203" s="226" t="s">
        <v>257</v>
      </c>
      <c r="D203" s="188">
        <f>(49.32/1.33)*10.17*4</f>
        <v>1508.5245112781954</v>
      </c>
      <c r="E203" s="189">
        <v>0</v>
      </c>
      <c r="F203" s="188">
        <f t="shared" si="137"/>
        <v>1508.5245112781954</v>
      </c>
      <c r="G203" s="190" t="s">
        <v>14</v>
      </c>
      <c r="H203" s="191">
        <v>0</v>
      </c>
      <c r="I203" s="192">
        <f t="shared" si="138"/>
        <v>0</v>
      </c>
      <c r="J203" s="193">
        <v>0</v>
      </c>
      <c r="K203" s="194">
        <f t="shared" si="139"/>
        <v>0</v>
      </c>
      <c r="L203" s="195">
        <v>55</v>
      </c>
      <c r="M203" s="196">
        <f t="shared" si="140"/>
        <v>0</v>
      </c>
      <c r="N203" s="197">
        <f t="shared" si="141"/>
        <v>0</v>
      </c>
      <c r="O203" s="198"/>
      <c r="P203" s="18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</row>
    <row r="204" spans="1:77" s="41" customFormat="1" ht="15.75">
      <c r="A204" s="64">
        <f>IF(F204&lt;&gt;"",1+MAX($A$2:A203),"")</f>
        <v>173</v>
      </c>
      <c r="B204" s="313"/>
      <c r="C204" s="226" t="s">
        <v>258</v>
      </c>
      <c r="D204" s="188">
        <f>(28.3/1.33)*10.25</f>
        <v>218.10150375939847</v>
      </c>
      <c r="E204" s="189">
        <v>0</v>
      </c>
      <c r="F204" s="188">
        <f t="shared" si="137"/>
        <v>218.10150375939847</v>
      </c>
      <c r="G204" s="190" t="s">
        <v>14</v>
      </c>
      <c r="H204" s="191">
        <v>0</v>
      </c>
      <c r="I204" s="192">
        <f t="shared" si="138"/>
        <v>0</v>
      </c>
      <c r="J204" s="193">
        <v>0</v>
      </c>
      <c r="K204" s="194">
        <f t="shared" si="139"/>
        <v>0</v>
      </c>
      <c r="L204" s="195">
        <v>55</v>
      </c>
      <c r="M204" s="196">
        <f t="shared" si="140"/>
        <v>0</v>
      </c>
      <c r="N204" s="197">
        <f t="shared" si="141"/>
        <v>0</v>
      </c>
      <c r="O204" s="198"/>
      <c r="P204" s="18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</row>
    <row r="205" spans="1:77" s="41" customFormat="1" ht="15.75">
      <c r="A205" s="64">
        <f>IF(F205&lt;&gt;"",1+MAX($A$2:A204),"")</f>
        <v>174</v>
      </c>
      <c r="B205" s="313"/>
      <c r="C205" s="226" t="s">
        <v>259</v>
      </c>
      <c r="D205" s="188">
        <f>(38.05/1.33)*11.33</f>
        <v>324.14022556390978</v>
      </c>
      <c r="E205" s="189">
        <v>0</v>
      </c>
      <c r="F205" s="188">
        <f t="shared" si="137"/>
        <v>324.14022556390978</v>
      </c>
      <c r="G205" s="190" t="s">
        <v>14</v>
      </c>
      <c r="H205" s="191">
        <v>0</v>
      </c>
      <c r="I205" s="192">
        <f t="shared" si="138"/>
        <v>0</v>
      </c>
      <c r="J205" s="193">
        <v>0</v>
      </c>
      <c r="K205" s="194">
        <f t="shared" si="139"/>
        <v>0</v>
      </c>
      <c r="L205" s="195">
        <v>55</v>
      </c>
      <c r="M205" s="196">
        <f t="shared" si="140"/>
        <v>0</v>
      </c>
      <c r="N205" s="197">
        <f t="shared" si="141"/>
        <v>0</v>
      </c>
      <c r="O205" s="198"/>
      <c r="P205" s="18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</row>
    <row r="206" spans="1:77" s="41" customFormat="1" ht="15.75">
      <c r="A206" s="64">
        <f>IF(F206&lt;&gt;"",1+MAX($A$2:A205),"")</f>
        <v>175</v>
      </c>
      <c r="B206" s="313"/>
      <c r="C206" s="226" t="s">
        <v>260</v>
      </c>
      <c r="D206" s="188">
        <f>(31.14/1.33)*11.83</f>
        <v>276.98210526315791</v>
      </c>
      <c r="E206" s="189">
        <v>0</v>
      </c>
      <c r="F206" s="188">
        <f t="shared" si="137"/>
        <v>276.98210526315791</v>
      </c>
      <c r="G206" s="190" t="s">
        <v>14</v>
      </c>
      <c r="H206" s="191">
        <v>0</v>
      </c>
      <c r="I206" s="192">
        <f t="shared" si="138"/>
        <v>0</v>
      </c>
      <c r="J206" s="193">
        <v>0</v>
      </c>
      <c r="K206" s="194">
        <f t="shared" si="139"/>
        <v>0</v>
      </c>
      <c r="L206" s="195">
        <v>55</v>
      </c>
      <c r="M206" s="196">
        <f t="shared" si="140"/>
        <v>0</v>
      </c>
      <c r="N206" s="197">
        <f t="shared" si="141"/>
        <v>0</v>
      </c>
      <c r="O206" s="198"/>
      <c r="P206" s="18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</row>
    <row r="207" spans="1:77" s="41" customFormat="1" ht="15.75">
      <c r="A207" s="64">
        <f>IF(F207&lt;&gt;"",1+MAX($A$2:A206),"")</f>
        <v>176</v>
      </c>
      <c r="B207" s="313"/>
      <c r="C207" s="226" t="s">
        <v>261</v>
      </c>
      <c r="D207" s="188">
        <f>((19.48/1.33)*8.17)</f>
        <v>119.66285714285713</v>
      </c>
      <c r="E207" s="189">
        <v>0</v>
      </c>
      <c r="F207" s="188">
        <f t="shared" si="137"/>
        <v>119.66285714285713</v>
      </c>
      <c r="G207" s="190" t="s">
        <v>14</v>
      </c>
      <c r="H207" s="191">
        <v>0</v>
      </c>
      <c r="I207" s="192">
        <f t="shared" si="138"/>
        <v>0</v>
      </c>
      <c r="J207" s="193">
        <v>0</v>
      </c>
      <c r="K207" s="194">
        <f t="shared" si="139"/>
        <v>0</v>
      </c>
      <c r="L207" s="195">
        <v>55</v>
      </c>
      <c r="M207" s="196">
        <f t="shared" si="140"/>
        <v>0</v>
      </c>
      <c r="N207" s="197">
        <f t="shared" si="141"/>
        <v>0</v>
      </c>
      <c r="O207" s="198"/>
      <c r="P207" s="18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</row>
    <row r="208" spans="1:77" s="41" customFormat="1" ht="15.75">
      <c r="A208" s="64">
        <f>IF(F208&lt;&gt;"",1+MAX($A$2:A207),"")</f>
        <v>177</v>
      </c>
      <c r="B208" s="313"/>
      <c r="C208" s="226" t="s">
        <v>262</v>
      </c>
      <c r="D208" s="188">
        <f>((127.24/1.33)*9.67)+((96.63/1.33)*9.67*8)</f>
        <v>6545.6448120300738</v>
      </c>
      <c r="E208" s="189">
        <v>0</v>
      </c>
      <c r="F208" s="188">
        <f t="shared" si="137"/>
        <v>6545.6448120300738</v>
      </c>
      <c r="G208" s="190" t="s">
        <v>14</v>
      </c>
      <c r="H208" s="191">
        <v>0</v>
      </c>
      <c r="I208" s="192">
        <f t="shared" si="138"/>
        <v>0</v>
      </c>
      <c r="J208" s="193">
        <v>0</v>
      </c>
      <c r="K208" s="194">
        <f t="shared" si="139"/>
        <v>0</v>
      </c>
      <c r="L208" s="195">
        <v>55</v>
      </c>
      <c r="M208" s="196">
        <f t="shared" si="140"/>
        <v>0</v>
      </c>
      <c r="N208" s="197">
        <f t="shared" si="141"/>
        <v>0</v>
      </c>
      <c r="O208" s="198"/>
      <c r="P208" s="18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</row>
    <row r="209" spans="1:77" s="41" customFormat="1" ht="15.75">
      <c r="A209" s="64">
        <f>IF(F209&lt;&gt;"",1+MAX($A$2:A208),"")</f>
        <v>178</v>
      </c>
      <c r="B209" s="313"/>
      <c r="C209" s="226" t="s">
        <v>263</v>
      </c>
      <c r="D209" s="188">
        <f>(70.97/1.33)*9.83</f>
        <v>524.53766917293228</v>
      </c>
      <c r="E209" s="189">
        <v>0</v>
      </c>
      <c r="F209" s="188">
        <f t="shared" si="137"/>
        <v>524.53766917293228</v>
      </c>
      <c r="G209" s="190" t="s">
        <v>14</v>
      </c>
      <c r="H209" s="191">
        <v>0</v>
      </c>
      <c r="I209" s="192">
        <f t="shared" si="138"/>
        <v>0</v>
      </c>
      <c r="J209" s="193">
        <v>0</v>
      </c>
      <c r="K209" s="194">
        <f t="shared" si="139"/>
        <v>0</v>
      </c>
      <c r="L209" s="195">
        <v>55</v>
      </c>
      <c r="M209" s="196">
        <f t="shared" si="140"/>
        <v>0</v>
      </c>
      <c r="N209" s="197">
        <f t="shared" si="141"/>
        <v>0</v>
      </c>
      <c r="O209" s="198"/>
      <c r="P209" s="18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</row>
    <row r="210" spans="1:77" s="41" customFormat="1" ht="15.75">
      <c r="A210" s="64">
        <f>IF(F210&lt;&gt;"",1+MAX($A$2:A209),"")</f>
        <v>179</v>
      </c>
      <c r="B210" s="313"/>
      <c r="C210" s="226" t="s">
        <v>264</v>
      </c>
      <c r="D210" s="188">
        <f>(133.57/1.33)*10.17*4</f>
        <v>4085.4342857142851</v>
      </c>
      <c r="E210" s="189">
        <v>0</v>
      </c>
      <c r="F210" s="188">
        <f t="shared" si="137"/>
        <v>4085.4342857142851</v>
      </c>
      <c r="G210" s="190" t="s">
        <v>14</v>
      </c>
      <c r="H210" s="191">
        <v>0</v>
      </c>
      <c r="I210" s="192">
        <f t="shared" si="138"/>
        <v>0</v>
      </c>
      <c r="J210" s="193">
        <v>0</v>
      </c>
      <c r="K210" s="194">
        <f t="shared" si="139"/>
        <v>0</v>
      </c>
      <c r="L210" s="195">
        <v>55</v>
      </c>
      <c r="M210" s="196">
        <f t="shared" si="140"/>
        <v>0</v>
      </c>
      <c r="N210" s="197">
        <f t="shared" si="141"/>
        <v>0</v>
      </c>
      <c r="O210" s="198"/>
      <c r="P210" s="18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</row>
    <row r="211" spans="1:77" s="41" customFormat="1" ht="15.75">
      <c r="A211" s="64">
        <f>IF(F211&lt;&gt;"",1+MAX($A$2:A210),"")</f>
        <v>180</v>
      </c>
      <c r="B211" s="313"/>
      <c r="C211" s="226" t="s">
        <v>265</v>
      </c>
      <c r="D211" s="188">
        <f>(124.15/1.33)*10.25</f>
        <v>956.79511278195491</v>
      </c>
      <c r="E211" s="189">
        <v>0</v>
      </c>
      <c r="F211" s="188">
        <f t="shared" si="137"/>
        <v>956.79511278195491</v>
      </c>
      <c r="G211" s="190" t="s">
        <v>14</v>
      </c>
      <c r="H211" s="191">
        <v>0</v>
      </c>
      <c r="I211" s="192">
        <f t="shared" si="138"/>
        <v>0</v>
      </c>
      <c r="J211" s="193">
        <v>0</v>
      </c>
      <c r="K211" s="194">
        <f t="shared" si="139"/>
        <v>0</v>
      </c>
      <c r="L211" s="195">
        <v>55</v>
      </c>
      <c r="M211" s="196">
        <f t="shared" si="140"/>
        <v>0</v>
      </c>
      <c r="N211" s="197">
        <f t="shared" si="141"/>
        <v>0</v>
      </c>
      <c r="O211" s="198"/>
      <c r="P211" s="18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</row>
    <row r="212" spans="1:77" s="41" customFormat="1" ht="15.75">
      <c r="A212" s="64">
        <f>IF(F212&lt;&gt;"",1+MAX($A$2:A211),"")</f>
        <v>181</v>
      </c>
      <c r="B212" s="313"/>
      <c r="C212" s="226" t="s">
        <v>266</v>
      </c>
      <c r="D212" s="188">
        <f>(62.25/1.33)*11.33</f>
        <v>530.2951127819548</v>
      </c>
      <c r="E212" s="189">
        <v>0</v>
      </c>
      <c r="F212" s="188">
        <f t="shared" si="137"/>
        <v>530.2951127819548</v>
      </c>
      <c r="G212" s="190" t="s">
        <v>14</v>
      </c>
      <c r="H212" s="191">
        <v>0</v>
      </c>
      <c r="I212" s="192">
        <f t="shared" si="138"/>
        <v>0</v>
      </c>
      <c r="J212" s="193">
        <v>0</v>
      </c>
      <c r="K212" s="194">
        <f t="shared" si="139"/>
        <v>0</v>
      </c>
      <c r="L212" s="195">
        <v>55</v>
      </c>
      <c r="M212" s="196">
        <f t="shared" si="140"/>
        <v>0</v>
      </c>
      <c r="N212" s="197">
        <f t="shared" si="141"/>
        <v>0</v>
      </c>
      <c r="O212" s="198"/>
      <c r="P212" s="18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</row>
    <row r="213" spans="1:77" s="41" customFormat="1" ht="15.75">
      <c r="A213" s="64">
        <f>IF(F213&lt;&gt;"",1+MAX($A$2:A212),"")</f>
        <v>182</v>
      </c>
      <c r="B213" s="313"/>
      <c r="C213" s="226" t="s">
        <v>267</v>
      </c>
      <c r="D213" s="188">
        <f>(91.75/1.33)*11.83</f>
        <v>816.0921052631578</v>
      </c>
      <c r="E213" s="189">
        <v>0</v>
      </c>
      <c r="F213" s="188">
        <f t="shared" si="137"/>
        <v>816.0921052631578</v>
      </c>
      <c r="G213" s="190" t="s">
        <v>14</v>
      </c>
      <c r="H213" s="191">
        <v>0</v>
      </c>
      <c r="I213" s="192">
        <f t="shared" si="138"/>
        <v>0</v>
      </c>
      <c r="J213" s="193">
        <v>0</v>
      </c>
      <c r="K213" s="194">
        <f t="shared" si="139"/>
        <v>0</v>
      </c>
      <c r="L213" s="195">
        <v>55</v>
      </c>
      <c r="M213" s="196">
        <f t="shared" si="140"/>
        <v>0</v>
      </c>
      <c r="N213" s="197">
        <f t="shared" si="141"/>
        <v>0</v>
      </c>
      <c r="O213" s="198"/>
      <c r="P213" s="18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</row>
    <row r="214" spans="1:77" s="41" customFormat="1" ht="15.75">
      <c r="A214" s="64">
        <f>IF(F214&lt;&gt;"",1+MAX($A$2:A213),"")</f>
        <v>183</v>
      </c>
      <c r="B214" s="313"/>
      <c r="C214" s="226" t="s">
        <v>268</v>
      </c>
      <c r="D214" s="188">
        <f>((43.68/1.33)*9.67)+((8.78/1.33)*9.67*8)</f>
        <v>828.27548872180444</v>
      </c>
      <c r="E214" s="189">
        <v>0</v>
      </c>
      <c r="F214" s="188">
        <f t="shared" si="137"/>
        <v>828.27548872180444</v>
      </c>
      <c r="G214" s="190" t="s">
        <v>14</v>
      </c>
      <c r="H214" s="191">
        <v>0</v>
      </c>
      <c r="I214" s="192">
        <f t="shared" si="138"/>
        <v>0</v>
      </c>
      <c r="J214" s="193">
        <v>0</v>
      </c>
      <c r="K214" s="194">
        <f t="shared" si="139"/>
        <v>0</v>
      </c>
      <c r="L214" s="195">
        <v>55</v>
      </c>
      <c r="M214" s="196">
        <f t="shared" si="140"/>
        <v>0</v>
      </c>
      <c r="N214" s="197">
        <f t="shared" si="141"/>
        <v>0</v>
      </c>
      <c r="O214" s="198"/>
      <c r="P214" s="18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</row>
    <row r="215" spans="1:77" s="41" customFormat="1" ht="15.75">
      <c r="A215" s="64">
        <f>IF(F215&lt;&gt;"",1+MAX($A$2:A214),"")</f>
        <v>184</v>
      </c>
      <c r="B215" s="313"/>
      <c r="C215" s="226" t="s">
        <v>269</v>
      </c>
      <c r="D215" s="188">
        <f>(15.56/1.33)*9.83</f>
        <v>115.00360902255639</v>
      </c>
      <c r="E215" s="189">
        <v>0</v>
      </c>
      <c r="F215" s="188">
        <f t="shared" si="137"/>
        <v>115.00360902255639</v>
      </c>
      <c r="G215" s="190" t="s">
        <v>14</v>
      </c>
      <c r="H215" s="191">
        <v>0</v>
      </c>
      <c r="I215" s="192">
        <f t="shared" si="138"/>
        <v>0</v>
      </c>
      <c r="J215" s="193">
        <v>0</v>
      </c>
      <c r="K215" s="194">
        <f t="shared" si="139"/>
        <v>0</v>
      </c>
      <c r="L215" s="195">
        <v>55</v>
      </c>
      <c r="M215" s="196">
        <f t="shared" si="140"/>
        <v>0</v>
      </c>
      <c r="N215" s="197">
        <f t="shared" si="141"/>
        <v>0</v>
      </c>
      <c r="O215" s="198"/>
      <c r="P215" s="18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</row>
    <row r="216" spans="1:77" s="41" customFormat="1" ht="15.75">
      <c r="A216" s="64">
        <f>IF(F216&lt;&gt;"",1+MAX($A$2:A215),"")</f>
        <v>185</v>
      </c>
      <c r="B216" s="313"/>
      <c r="C216" s="226" t="s">
        <v>270</v>
      </c>
      <c r="D216" s="188">
        <f>(36.3/1.33)*10.17*4</f>
        <v>1110.2887218045112</v>
      </c>
      <c r="E216" s="189">
        <v>0</v>
      </c>
      <c r="F216" s="188">
        <f t="shared" si="137"/>
        <v>1110.2887218045112</v>
      </c>
      <c r="G216" s="190" t="s">
        <v>14</v>
      </c>
      <c r="H216" s="191">
        <v>0</v>
      </c>
      <c r="I216" s="192">
        <f t="shared" si="138"/>
        <v>0</v>
      </c>
      <c r="J216" s="193">
        <v>0</v>
      </c>
      <c r="K216" s="194">
        <f t="shared" si="139"/>
        <v>0</v>
      </c>
      <c r="L216" s="195">
        <v>55</v>
      </c>
      <c r="M216" s="196">
        <f t="shared" si="140"/>
        <v>0</v>
      </c>
      <c r="N216" s="197">
        <f t="shared" si="141"/>
        <v>0</v>
      </c>
      <c r="O216" s="198"/>
      <c r="P216" s="18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</row>
    <row r="217" spans="1:77" s="41" customFormat="1" ht="15.75">
      <c r="A217" s="64">
        <f>IF(F217&lt;&gt;"",1+MAX($A$2:A216),"")</f>
        <v>186</v>
      </c>
      <c r="B217" s="313"/>
      <c r="C217" s="226" t="s">
        <v>271</v>
      </c>
      <c r="D217" s="188">
        <f>(16.56/1.33)*11.33</f>
        <v>141.0712781954887</v>
      </c>
      <c r="E217" s="189">
        <v>0</v>
      </c>
      <c r="F217" s="188">
        <f t="shared" si="137"/>
        <v>141.0712781954887</v>
      </c>
      <c r="G217" s="190" t="s">
        <v>14</v>
      </c>
      <c r="H217" s="191">
        <v>0</v>
      </c>
      <c r="I217" s="192">
        <f t="shared" si="138"/>
        <v>0</v>
      </c>
      <c r="J217" s="193">
        <v>0</v>
      </c>
      <c r="K217" s="194">
        <f t="shared" si="139"/>
        <v>0</v>
      </c>
      <c r="L217" s="195">
        <v>55</v>
      </c>
      <c r="M217" s="196">
        <f t="shared" si="140"/>
        <v>0</v>
      </c>
      <c r="N217" s="197">
        <f t="shared" si="141"/>
        <v>0</v>
      </c>
      <c r="O217" s="198"/>
      <c r="P217" s="18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</row>
    <row r="218" spans="1:77" s="41" customFormat="1" ht="15.75">
      <c r="A218" s="64">
        <f>IF(F218&lt;&gt;"",1+MAX($A$2:A217),"")</f>
        <v>187</v>
      </c>
      <c r="B218" s="313"/>
      <c r="C218" s="226" t="s">
        <v>272</v>
      </c>
      <c r="D218" s="188">
        <f>((8.72+10.53*8/1.33)*9.67)</f>
        <v>696.80420451127816</v>
      </c>
      <c r="E218" s="189">
        <v>0</v>
      </c>
      <c r="F218" s="188">
        <f t="shared" si="137"/>
        <v>696.80420451127816</v>
      </c>
      <c r="G218" s="190" t="s">
        <v>14</v>
      </c>
      <c r="H218" s="191">
        <v>0</v>
      </c>
      <c r="I218" s="192">
        <f t="shared" si="138"/>
        <v>0</v>
      </c>
      <c r="J218" s="193">
        <v>0</v>
      </c>
      <c r="K218" s="194">
        <f t="shared" si="139"/>
        <v>0</v>
      </c>
      <c r="L218" s="195">
        <v>55</v>
      </c>
      <c r="M218" s="196">
        <f t="shared" si="140"/>
        <v>0</v>
      </c>
      <c r="N218" s="197">
        <f t="shared" si="141"/>
        <v>0</v>
      </c>
      <c r="O218" s="198"/>
      <c r="P218" s="18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</row>
    <row r="219" spans="1:77" s="41" customFormat="1" ht="15.75">
      <c r="A219" s="64">
        <f>IF(F219&lt;&gt;"",1+MAX($A$2:A218),"")</f>
        <v>188</v>
      </c>
      <c r="B219" s="313"/>
      <c r="C219" s="226" t="s">
        <v>273</v>
      </c>
      <c r="D219" s="188">
        <f>((7.88/1.33)*9.83)</f>
        <v>58.240902255639099</v>
      </c>
      <c r="E219" s="189">
        <v>0</v>
      </c>
      <c r="F219" s="188">
        <f t="shared" si="137"/>
        <v>58.240902255639099</v>
      </c>
      <c r="G219" s="190" t="s">
        <v>14</v>
      </c>
      <c r="H219" s="191">
        <v>0</v>
      </c>
      <c r="I219" s="192">
        <f t="shared" si="138"/>
        <v>0</v>
      </c>
      <c r="J219" s="193">
        <v>0</v>
      </c>
      <c r="K219" s="194">
        <f t="shared" si="139"/>
        <v>0</v>
      </c>
      <c r="L219" s="195">
        <v>55</v>
      </c>
      <c r="M219" s="196">
        <f t="shared" si="140"/>
        <v>0</v>
      </c>
      <c r="N219" s="197">
        <f t="shared" si="141"/>
        <v>0</v>
      </c>
      <c r="O219" s="198"/>
      <c r="P219" s="18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</row>
    <row r="220" spans="1:77" s="41" customFormat="1" ht="15.75">
      <c r="A220" s="64">
        <f>IF(F220&lt;&gt;"",1+MAX($A$2:A219),"")</f>
        <v>189</v>
      </c>
      <c r="B220" s="313"/>
      <c r="C220" s="226" t="s">
        <v>274</v>
      </c>
      <c r="D220" s="188">
        <f>(6.06/1.33)*10.17*4</f>
        <v>185.35398496240597</v>
      </c>
      <c r="E220" s="189">
        <v>0</v>
      </c>
      <c r="F220" s="188">
        <f t="shared" si="137"/>
        <v>185.35398496240597</v>
      </c>
      <c r="G220" s="190" t="s">
        <v>14</v>
      </c>
      <c r="H220" s="191">
        <v>0</v>
      </c>
      <c r="I220" s="192">
        <f t="shared" si="138"/>
        <v>0</v>
      </c>
      <c r="J220" s="193">
        <v>0</v>
      </c>
      <c r="K220" s="194">
        <f t="shared" si="139"/>
        <v>0</v>
      </c>
      <c r="L220" s="195">
        <v>55</v>
      </c>
      <c r="M220" s="196">
        <f t="shared" si="140"/>
        <v>0</v>
      </c>
      <c r="N220" s="197">
        <f t="shared" si="141"/>
        <v>0</v>
      </c>
      <c r="O220" s="198"/>
      <c r="P220" s="18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</row>
    <row r="221" spans="1:77" s="41" customFormat="1" ht="15.75">
      <c r="A221" s="64">
        <f>IF(F221&lt;&gt;"",1+MAX($A$2:A220),"")</f>
        <v>190</v>
      </c>
      <c r="B221" s="313"/>
      <c r="C221" s="226" t="s">
        <v>275</v>
      </c>
      <c r="D221" s="188">
        <f>(4.41/1.33)*11.33</f>
        <v>37.567894736842106</v>
      </c>
      <c r="E221" s="189">
        <v>0</v>
      </c>
      <c r="F221" s="188">
        <f t="shared" si="137"/>
        <v>37.567894736842106</v>
      </c>
      <c r="G221" s="190" t="s">
        <v>14</v>
      </c>
      <c r="H221" s="191">
        <v>0</v>
      </c>
      <c r="I221" s="192">
        <f t="shared" si="138"/>
        <v>0</v>
      </c>
      <c r="J221" s="193">
        <v>0</v>
      </c>
      <c r="K221" s="194">
        <f t="shared" si="139"/>
        <v>0</v>
      </c>
      <c r="L221" s="195">
        <v>55</v>
      </c>
      <c r="M221" s="196">
        <f t="shared" si="140"/>
        <v>0</v>
      </c>
      <c r="N221" s="197">
        <f t="shared" si="141"/>
        <v>0</v>
      </c>
      <c r="O221" s="198"/>
      <c r="P221" s="18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</row>
    <row r="222" spans="1:77" s="41" customFormat="1" ht="15.75">
      <c r="A222" s="64">
        <f>IF(F222&lt;&gt;"",1+MAX($A$2:A221),"")</f>
        <v>191</v>
      </c>
      <c r="B222" s="313"/>
      <c r="C222" s="226" t="s">
        <v>276</v>
      </c>
      <c r="D222" s="188">
        <f>((93.08/1.33)*9.67)+((90.54/1.33)*9.67*8)</f>
        <v>5943.051127819549</v>
      </c>
      <c r="E222" s="189">
        <v>0</v>
      </c>
      <c r="F222" s="188">
        <f t="shared" si="137"/>
        <v>5943.051127819549</v>
      </c>
      <c r="G222" s="190" t="s">
        <v>14</v>
      </c>
      <c r="H222" s="191">
        <v>0</v>
      </c>
      <c r="I222" s="192">
        <f t="shared" si="138"/>
        <v>0</v>
      </c>
      <c r="J222" s="193">
        <v>0</v>
      </c>
      <c r="K222" s="194">
        <f t="shared" si="139"/>
        <v>0</v>
      </c>
      <c r="L222" s="195">
        <v>55</v>
      </c>
      <c r="M222" s="196">
        <f t="shared" si="140"/>
        <v>0</v>
      </c>
      <c r="N222" s="197">
        <f t="shared" si="141"/>
        <v>0</v>
      </c>
      <c r="O222" s="198"/>
      <c r="P222" s="18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</row>
    <row r="223" spans="1:77" s="41" customFormat="1" ht="15.75">
      <c r="A223" s="64">
        <f>IF(F223&lt;&gt;"",1+MAX($A$2:A222),"")</f>
        <v>192</v>
      </c>
      <c r="B223" s="313"/>
      <c r="C223" s="226" t="s">
        <v>277</v>
      </c>
      <c r="D223" s="188">
        <f>(102.18/1.33)*9.83</f>
        <v>755.21007518796989</v>
      </c>
      <c r="E223" s="189">
        <v>0</v>
      </c>
      <c r="F223" s="188">
        <f t="shared" si="137"/>
        <v>755.21007518796989</v>
      </c>
      <c r="G223" s="190" t="s">
        <v>14</v>
      </c>
      <c r="H223" s="191">
        <v>0</v>
      </c>
      <c r="I223" s="192">
        <f t="shared" si="138"/>
        <v>0</v>
      </c>
      <c r="J223" s="193">
        <v>0</v>
      </c>
      <c r="K223" s="194">
        <f t="shared" si="139"/>
        <v>0</v>
      </c>
      <c r="L223" s="195">
        <v>55</v>
      </c>
      <c r="M223" s="196">
        <f t="shared" si="140"/>
        <v>0</v>
      </c>
      <c r="N223" s="197">
        <f t="shared" si="141"/>
        <v>0</v>
      </c>
      <c r="O223" s="198"/>
      <c r="P223" s="18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</row>
    <row r="224" spans="1:77" s="41" customFormat="1" ht="15.75">
      <c r="A224" s="64">
        <f>IF(F224&lt;&gt;"",1+MAX($A$2:A223),"")</f>
        <v>193</v>
      </c>
      <c r="B224" s="313"/>
      <c r="C224" s="226" t="s">
        <v>278</v>
      </c>
      <c r="D224" s="188">
        <f>(87.28/1.33)*10.17*4</f>
        <v>2669.5867669172931</v>
      </c>
      <c r="E224" s="189">
        <v>0</v>
      </c>
      <c r="F224" s="188">
        <f t="shared" si="137"/>
        <v>2669.5867669172931</v>
      </c>
      <c r="G224" s="190" t="s">
        <v>14</v>
      </c>
      <c r="H224" s="191">
        <v>0</v>
      </c>
      <c r="I224" s="192">
        <f t="shared" si="138"/>
        <v>0</v>
      </c>
      <c r="J224" s="193">
        <v>0</v>
      </c>
      <c r="K224" s="194">
        <f t="shared" si="139"/>
        <v>0</v>
      </c>
      <c r="L224" s="195">
        <v>55</v>
      </c>
      <c r="M224" s="196">
        <f t="shared" si="140"/>
        <v>0</v>
      </c>
      <c r="N224" s="197">
        <f t="shared" si="141"/>
        <v>0</v>
      </c>
      <c r="O224" s="198"/>
      <c r="P224" s="18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</row>
    <row r="225" spans="1:77" s="41" customFormat="1" ht="15.75">
      <c r="A225" s="64">
        <f>IF(F225&lt;&gt;"",1+MAX($A$2:A224),"")</f>
        <v>194</v>
      </c>
      <c r="B225" s="313"/>
      <c r="C225" s="226" t="s">
        <v>279</v>
      </c>
      <c r="D225" s="188">
        <f>(88.65/1.33)*10.25</f>
        <v>683.20488721804509</v>
      </c>
      <c r="E225" s="189">
        <v>0</v>
      </c>
      <c r="F225" s="188">
        <f t="shared" si="137"/>
        <v>683.20488721804509</v>
      </c>
      <c r="G225" s="190" t="s">
        <v>14</v>
      </c>
      <c r="H225" s="191">
        <v>0</v>
      </c>
      <c r="I225" s="192">
        <f t="shared" si="138"/>
        <v>0</v>
      </c>
      <c r="J225" s="193">
        <v>0</v>
      </c>
      <c r="K225" s="194">
        <f t="shared" si="139"/>
        <v>0</v>
      </c>
      <c r="L225" s="195">
        <v>55</v>
      </c>
      <c r="M225" s="196">
        <f t="shared" si="140"/>
        <v>0</v>
      </c>
      <c r="N225" s="197">
        <f t="shared" si="141"/>
        <v>0</v>
      </c>
      <c r="O225" s="198"/>
      <c r="P225" s="18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</row>
    <row r="226" spans="1:77" s="41" customFormat="1" ht="15.75">
      <c r="A226" s="64">
        <f>IF(F226&lt;&gt;"",1+MAX($A$2:A225),"")</f>
        <v>195</v>
      </c>
      <c r="B226" s="313"/>
      <c r="C226" s="226" t="s">
        <v>280</v>
      </c>
      <c r="D226" s="188">
        <f>(68.75/1.33)*11.33</f>
        <v>585.66729323308266</v>
      </c>
      <c r="E226" s="189">
        <v>0</v>
      </c>
      <c r="F226" s="188">
        <f t="shared" si="137"/>
        <v>585.66729323308266</v>
      </c>
      <c r="G226" s="190" t="s">
        <v>14</v>
      </c>
      <c r="H226" s="191">
        <v>0</v>
      </c>
      <c r="I226" s="192">
        <f t="shared" si="138"/>
        <v>0</v>
      </c>
      <c r="J226" s="193">
        <v>0</v>
      </c>
      <c r="K226" s="194">
        <f t="shared" si="139"/>
        <v>0</v>
      </c>
      <c r="L226" s="195">
        <v>55</v>
      </c>
      <c r="M226" s="196">
        <f t="shared" si="140"/>
        <v>0</v>
      </c>
      <c r="N226" s="197">
        <f t="shared" si="141"/>
        <v>0</v>
      </c>
      <c r="O226" s="198"/>
      <c r="P226" s="18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</row>
    <row r="227" spans="1:77" s="41" customFormat="1" ht="15.75">
      <c r="A227" s="64">
        <f>IF(F227&lt;&gt;"",1+MAX($A$2:A226),"")</f>
        <v>196</v>
      </c>
      <c r="B227" s="313"/>
      <c r="C227" s="226" t="s">
        <v>281</v>
      </c>
      <c r="D227" s="188">
        <f>(103.13/1.33)*11.83</f>
        <v>917.31421052631572</v>
      </c>
      <c r="E227" s="189">
        <v>0</v>
      </c>
      <c r="F227" s="188">
        <f t="shared" si="137"/>
        <v>917.31421052631572</v>
      </c>
      <c r="G227" s="190" t="s">
        <v>14</v>
      </c>
      <c r="H227" s="191">
        <v>0</v>
      </c>
      <c r="I227" s="192">
        <f t="shared" si="138"/>
        <v>0</v>
      </c>
      <c r="J227" s="193">
        <v>0</v>
      </c>
      <c r="K227" s="194">
        <f t="shared" si="139"/>
        <v>0</v>
      </c>
      <c r="L227" s="195">
        <v>55</v>
      </c>
      <c r="M227" s="196">
        <f t="shared" si="140"/>
        <v>0</v>
      </c>
      <c r="N227" s="197">
        <f t="shared" si="141"/>
        <v>0</v>
      </c>
      <c r="O227" s="198"/>
      <c r="P227" s="18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</row>
    <row r="228" spans="1:77" s="41" customFormat="1" ht="15.75">
      <c r="A228" s="64">
        <f>IF(F228&lt;&gt;"",1+MAX($A$2:A227),"")</f>
        <v>197</v>
      </c>
      <c r="B228" s="313"/>
      <c r="C228" s="226" t="s">
        <v>282</v>
      </c>
      <c r="D228" s="188">
        <f>((14.16/1.33)*9.67)+((13.08/1.33)*9.67*8)</f>
        <v>863.75639097744363</v>
      </c>
      <c r="E228" s="189">
        <v>0</v>
      </c>
      <c r="F228" s="188">
        <f t="shared" si="137"/>
        <v>863.75639097744363</v>
      </c>
      <c r="G228" s="190" t="s">
        <v>14</v>
      </c>
      <c r="H228" s="191">
        <v>0</v>
      </c>
      <c r="I228" s="192">
        <f t="shared" si="138"/>
        <v>0</v>
      </c>
      <c r="J228" s="193">
        <v>0</v>
      </c>
      <c r="K228" s="194">
        <f t="shared" si="139"/>
        <v>0</v>
      </c>
      <c r="L228" s="195">
        <v>55</v>
      </c>
      <c r="M228" s="196">
        <f t="shared" si="140"/>
        <v>0</v>
      </c>
      <c r="N228" s="197">
        <f t="shared" si="141"/>
        <v>0</v>
      </c>
      <c r="O228" s="198"/>
      <c r="P228" s="18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</row>
    <row r="229" spans="1:77" s="41" customFormat="1" ht="15.75">
      <c r="A229" s="64">
        <f>IF(F229&lt;&gt;"",1+MAX($A$2:A228),"")</f>
        <v>198</v>
      </c>
      <c r="B229" s="313"/>
      <c r="C229" s="226" t="s">
        <v>283</v>
      </c>
      <c r="D229" s="188">
        <f>(27.73/1.33)*9.83</f>
        <v>204.9518045112782</v>
      </c>
      <c r="E229" s="189">
        <v>0</v>
      </c>
      <c r="F229" s="188">
        <f t="shared" si="137"/>
        <v>204.9518045112782</v>
      </c>
      <c r="G229" s="190" t="s">
        <v>14</v>
      </c>
      <c r="H229" s="191">
        <v>0</v>
      </c>
      <c r="I229" s="192">
        <f t="shared" si="138"/>
        <v>0</v>
      </c>
      <c r="J229" s="193">
        <v>0</v>
      </c>
      <c r="K229" s="194">
        <f t="shared" si="139"/>
        <v>0</v>
      </c>
      <c r="L229" s="195">
        <v>55</v>
      </c>
      <c r="M229" s="196">
        <f t="shared" si="140"/>
        <v>0</v>
      </c>
      <c r="N229" s="197">
        <f t="shared" si="141"/>
        <v>0</v>
      </c>
      <c r="O229" s="198"/>
      <c r="P229" s="18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</row>
    <row r="230" spans="1:77" s="41" customFormat="1" ht="15.75">
      <c r="A230" s="64">
        <f>IF(F230&lt;&gt;"",1+MAX($A$2:A229),"")</f>
        <v>199</v>
      </c>
      <c r="B230" s="313"/>
      <c r="C230" s="226" t="s">
        <v>284</v>
      </c>
      <c r="D230" s="188">
        <f>(23.68/1.33)*10.17*4</f>
        <v>724.28751879699246</v>
      </c>
      <c r="E230" s="189">
        <v>0</v>
      </c>
      <c r="F230" s="188">
        <f t="shared" si="137"/>
        <v>724.28751879699246</v>
      </c>
      <c r="G230" s="190" t="s">
        <v>14</v>
      </c>
      <c r="H230" s="191">
        <v>0</v>
      </c>
      <c r="I230" s="192">
        <f t="shared" si="138"/>
        <v>0</v>
      </c>
      <c r="J230" s="193">
        <v>0</v>
      </c>
      <c r="K230" s="194">
        <f t="shared" si="139"/>
        <v>0</v>
      </c>
      <c r="L230" s="195">
        <v>55</v>
      </c>
      <c r="M230" s="196">
        <f t="shared" si="140"/>
        <v>0</v>
      </c>
      <c r="N230" s="197">
        <f t="shared" si="141"/>
        <v>0</v>
      </c>
      <c r="O230" s="198"/>
      <c r="P230" s="18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</row>
    <row r="231" spans="1:77" s="41" customFormat="1" ht="15.75">
      <c r="A231" s="64">
        <f>IF(F231&lt;&gt;"",1+MAX($A$2:A230),"")</f>
        <v>200</v>
      </c>
      <c r="B231" s="313"/>
      <c r="C231" s="226" t="s">
        <v>285</v>
      </c>
      <c r="D231" s="188">
        <f>(8.28/1.33)*10.25</f>
        <v>63.812030075187963</v>
      </c>
      <c r="E231" s="189">
        <v>0</v>
      </c>
      <c r="F231" s="188">
        <f t="shared" si="137"/>
        <v>63.812030075187963</v>
      </c>
      <c r="G231" s="190" t="s">
        <v>14</v>
      </c>
      <c r="H231" s="191">
        <v>0</v>
      </c>
      <c r="I231" s="192">
        <f t="shared" si="138"/>
        <v>0</v>
      </c>
      <c r="J231" s="193">
        <v>0</v>
      </c>
      <c r="K231" s="194">
        <f t="shared" si="139"/>
        <v>0</v>
      </c>
      <c r="L231" s="195">
        <v>55</v>
      </c>
      <c r="M231" s="196">
        <f t="shared" si="140"/>
        <v>0</v>
      </c>
      <c r="N231" s="197">
        <f t="shared" si="141"/>
        <v>0</v>
      </c>
      <c r="O231" s="198"/>
      <c r="P231" s="18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</row>
    <row r="232" spans="1:77" s="41" customFormat="1" ht="15.75">
      <c r="A232" s="64">
        <f>IF(F232&lt;&gt;"",1+MAX($A$2:A231),"")</f>
        <v>201</v>
      </c>
      <c r="B232" s="313"/>
      <c r="C232" s="226" t="s">
        <v>286</v>
      </c>
      <c r="D232" s="188">
        <f>(28.2/1.33)*11.33</f>
        <v>240.2300751879699</v>
      </c>
      <c r="E232" s="189">
        <v>0</v>
      </c>
      <c r="F232" s="188">
        <f t="shared" si="137"/>
        <v>240.2300751879699</v>
      </c>
      <c r="G232" s="190" t="s">
        <v>14</v>
      </c>
      <c r="H232" s="191">
        <v>0</v>
      </c>
      <c r="I232" s="192">
        <f t="shared" si="138"/>
        <v>0</v>
      </c>
      <c r="J232" s="193">
        <v>0</v>
      </c>
      <c r="K232" s="194">
        <f t="shared" si="139"/>
        <v>0</v>
      </c>
      <c r="L232" s="195">
        <v>55</v>
      </c>
      <c r="M232" s="196">
        <f t="shared" si="140"/>
        <v>0</v>
      </c>
      <c r="N232" s="197">
        <f t="shared" si="141"/>
        <v>0</v>
      </c>
      <c r="O232" s="198"/>
      <c r="P232" s="18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</row>
    <row r="233" spans="1:77" s="41" customFormat="1" ht="15.75">
      <c r="A233" s="64">
        <f>IF(F233&lt;&gt;"",1+MAX($A$2:A232),"")</f>
        <v>202</v>
      </c>
      <c r="B233" s="313"/>
      <c r="C233" s="226" t="s">
        <v>287</v>
      </c>
      <c r="D233" s="188">
        <f>(3.71/1.33)*11.83</f>
        <v>32.999473684210521</v>
      </c>
      <c r="E233" s="189">
        <v>0</v>
      </c>
      <c r="F233" s="188">
        <f t="shared" si="137"/>
        <v>32.999473684210521</v>
      </c>
      <c r="G233" s="190" t="s">
        <v>14</v>
      </c>
      <c r="H233" s="191">
        <v>0</v>
      </c>
      <c r="I233" s="192">
        <f t="shared" si="138"/>
        <v>0</v>
      </c>
      <c r="J233" s="193">
        <v>0</v>
      </c>
      <c r="K233" s="194">
        <f t="shared" si="139"/>
        <v>0</v>
      </c>
      <c r="L233" s="195">
        <v>55</v>
      </c>
      <c r="M233" s="196">
        <f t="shared" si="140"/>
        <v>0</v>
      </c>
      <c r="N233" s="197">
        <f t="shared" si="141"/>
        <v>0</v>
      </c>
      <c r="O233" s="198"/>
      <c r="P233" s="18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</row>
    <row r="234" spans="1:77" s="41" customFormat="1" ht="15.75">
      <c r="A234" s="64">
        <f>IF(F234&lt;&gt;"",1+MAX($A$2:A233),"")</f>
        <v>203</v>
      </c>
      <c r="B234" s="313"/>
      <c r="C234" s="226" t="s">
        <v>288</v>
      </c>
      <c r="D234" s="188">
        <f>((21.38/1.33)*9.67)+((29.53/1.33)*9.67*8)</f>
        <v>1873.0717293233081</v>
      </c>
      <c r="E234" s="189">
        <v>0</v>
      </c>
      <c r="F234" s="188">
        <f t="shared" si="137"/>
        <v>1873.0717293233081</v>
      </c>
      <c r="G234" s="190" t="s">
        <v>14</v>
      </c>
      <c r="H234" s="191">
        <v>0</v>
      </c>
      <c r="I234" s="192">
        <f t="shared" si="138"/>
        <v>0</v>
      </c>
      <c r="J234" s="193">
        <v>0</v>
      </c>
      <c r="K234" s="194">
        <f t="shared" si="139"/>
        <v>0</v>
      </c>
      <c r="L234" s="195">
        <v>55</v>
      </c>
      <c r="M234" s="196">
        <f t="shared" si="140"/>
        <v>0</v>
      </c>
      <c r="N234" s="197">
        <f t="shared" si="141"/>
        <v>0</v>
      </c>
      <c r="O234" s="198"/>
      <c r="P234" s="18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</row>
    <row r="235" spans="1:77" s="41" customFormat="1" ht="15.75">
      <c r="A235" s="64">
        <f>IF(F235&lt;&gt;"",1+MAX($A$2:A234),"")</f>
        <v>204</v>
      </c>
      <c r="B235" s="313"/>
      <c r="C235" s="226" t="s">
        <v>289</v>
      </c>
      <c r="D235" s="188">
        <f>(18.98/1.33)*9.83</f>
        <v>140.28075187969924</v>
      </c>
      <c r="E235" s="189">
        <v>0</v>
      </c>
      <c r="F235" s="188">
        <f t="shared" si="137"/>
        <v>140.28075187969924</v>
      </c>
      <c r="G235" s="190" t="s">
        <v>14</v>
      </c>
      <c r="H235" s="191">
        <v>0</v>
      </c>
      <c r="I235" s="192">
        <f t="shared" si="138"/>
        <v>0</v>
      </c>
      <c r="J235" s="193">
        <v>0</v>
      </c>
      <c r="K235" s="194">
        <f t="shared" si="139"/>
        <v>0</v>
      </c>
      <c r="L235" s="195">
        <v>55</v>
      </c>
      <c r="M235" s="196">
        <f t="shared" si="140"/>
        <v>0</v>
      </c>
      <c r="N235" s="197">
        <f t="shared" si="141"/>
        <v>0</v>
      </c>
      <c r="O235" s="198"/>
      <c r="P235" s="18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</row>
    <row r="236" spans="1:77" s="41" customFormat="1" ht="15.75">
      <c r="A236" s="64">
        <f>IF(F236&lt;&gt;"",1+MAX($A$2:A235),"")</f>
        <v>205</v>
      </c>
      <c r="B236" s="313"/>
      <c r="C236" s="226" t="s">
        <v>290</v>
      </c>
      <c r="D236" s="188">
        <f>(17.48/1.33)*10.17*4</f>
        <v>534.6514285714286</v>
      </c>
      <c r="E236" s="189">
        <v>0</v>
      </c>
      <c r="F236" s="188">
        <f t="shared" si="137"/>
        <v>534.6514285714286</v>
      </c>
      <c r="G236" s="190" t="s">
        <v>14</v>
      </c>
      <c r="H236" s="191">
        <v>0</v>
      </c>
      <c r="I236" s="192">
        <f t="shared" si="138"/>
        <v>0</v>
      </c>
      <c r="J236" s="193">
        <v>0</v>
      </c>
      <c r="K236" s="194">
        <f t="shared" si="139"/>
        <v>0</v>
      </c>
      <c r="L236" s="195">
        <v>55</v>
      </c>
      <c r="M236" s="196">
        <f t="shared" si="140"/>
        <v>0</v>
      </c>
      <c r="N236" s="197">
        <f t="shared" si="141"/>
        <v>0</v>
      </c>
      <c r="O236" s="198"/>
      <c r="P236" s="18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</row>
    <row r="237" spans="1:77" s="41" customFormat="1" ht="15.75">
      <c r="A237" s="64">
        <f>IF(F237&lt;&gt;"",1+MAX($A$2:A236),"")</f>
        <v>206</v>
      </c>
      <c r="B237" s="313"/>
      <c r="C237" s="226" t="s">
        <v>291</v>
      </c>
      <c r="D237" s="188">
        <f>(20.81/1.33)*10.25</f>
        <v>160.37781954887217</v>
      </c>
      <c r="E237" s="189">
        <v>0</v>
      </c>
      <c r="F237" s="188">
        <f t="shared" si="137"/>
        <v>160.37781954887217</v>
      </c>
      <c r="G237" s="190" t="s">
        <v>14</v>
      </c>
      <c r="H237" s="191">
        <v>0</v>
      </c>
      <c r="I237" s="192">
        <f t="shared" si="138"/>
        <v>0</v>
      </c>
      <c r="J237" s="193">
        <v>0</v>
      </c>
      <c r="K237" s="194">
        <f t="shared" si="139"/>
        <v>0</v>
      </c>
      <c r="L237" s="195">
        <v>55</v>
      </c>
      <c r="M237" s="196">
        <f t="shared" si="140"/>
        <v>0</v>
      </c>
      <c r="N237" s="197">
        <f t="shared" si="141"/>
        <v>0</v>
      </c>
      <c r="O237" s="198"/>
      <c r="P237" s="18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</row>
    <row r="238" spans="1:77" s="41" customFormat="1" ht="15.75">
      <c r="A238" s="64">
        <f>IF(F238&lt;&gt;"",1+MAX($A$2:A237),"")</f>
        <v>207</v>
      </c>
      <c r="B238" s="313"/>
      <c r="C238" s="226" t="s">
        <v>292</v>
      </c>
      <c r="D238" s="188">
        <f>(19.7/1.33)*11.33</f>
        <v>167.82030075187967</v>
      </c>
      <c r="E238" s="189">
        <v>0</v>
      </c>
      <c r="F238" s="188">
        <f t="shared" si="137"/>
        <v>167.82030075187967</v>
      </c>
      <c r="G238" s="190" t="s">
        <v>14</v>
      </c>
      <c r="H238" s="191">
        <v>0</v>
      </c>
      <c r="I238" s="192">
        <f t="shared" si="138"/>
        <v>0</v>
      </c>
      <c r="J238" s="193">
        <v>0</v>
      </c>
      <c r="K238" s="194">
        <f t="shared" si="139"/>
        <v>0</v>
      </c>
      <c r="L238" s="195">
        <v>55</v>
      </c>
      <c r="M238" s="196">
        <f t="shared" si="140"/>
        <v>0</v>
      </c>
      <c r="N238" s="197">
        <f t="shared" si="141"/>
        <v>0</v>
      </c>
      <c r="O238" s="198"/>
      <c r="P238" s="18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</row>
    <row r="239" spans="1:77" s="41" customFormat="1" ht="15.75">
      <c r="A239" s="64">
        <f>IF(F239&lt;&gt;"",1+MAX($A$2:A238),"")</f>
        <v>208</v>
      </c>
      <c r="B239" s="313"/>
      <c r="C239" s="226" t="s">
        <v>293</v>
      </c>
      <c r="D239" s="188">
        <f>(19.01/1.33)*11.83</f>
        <v>169.08894736842106</v>
      </c>
      <c r="E239" s="189">
        <v>0</v>
      </c>
      <c r="F239" s="188">
        <f t="shared" si="137"/>
        <v>169.08894736842106</v>
      </c>
      <c r="G239" s="190" t="s">
        <v>14</v>
      </c>
      <c r="H239" s="191">
        <v>0</v>
      </c>
      <c r="I239" s="192">
        <f t="shared" si="138"/>
        <v>0</v>
      </c>
      <c r="J239" s="193">
        <v>0</v>
      </c>
      <c r="K239" s="194">
        <f t="shared" si="139"/>
        <v>0</v>
      </c>
      <c r="L239" s="195">
        <v>55</v>
      </c>
      <c r="M239" s="196">
        <f t="shared" si="140"/>
        <v>0</v>
      </c>
      <c r="N239" s="197">
        <f t="shared" si="141"/>
        <v>0</v>
      </c>
      <c r="O239" s="198"/>
      <c r="P239" s="18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</row>
    <row r="240" spans="1:77" s="41" customFormat="1" ht="15.75">
      <c r="A240" s="64">
        <f>IF(F240&lt;&gt;"",1+MAX($A$2:A239),"")</f>
        <v>209</v>
      </c>
      <c r="B240" s="313"/>
      <c r="C240" s="226" t="s">
        <v>294</v>
      </c>
      <c r="D240" s="188">
        <f>83.21+47.93+79.58*8+29.74+69.84+49.43*4+58.41+41.46+12.6</f>
        <v>1177.55</v>
      </c>
      <c r="E240" s="189">
        <v>0</v>
      </c>
      <c r="F240" s="188">
        <f t="shared" si="137"/>
        <v>1177.55</v>
      </c>
      <c r="G240" s="190" t="s">
        <v>14</v>
      </c>
      <c r="H240" s="191">
        <v>0</v>
      </c>
      <c r="I240" s="192">
        <f t="shared" si="138"/>
        <v>0</v>
      </c>
      <c r="J240" s="193">
        <v>0</v>
      </c>
      <c r="K240" s="194">
        <f t="shared" si="139"/>
        <v>0</v>
      </c>
      <c r="L240" s="195">
        <v>55</v>
      </c>
      <c r="M240" s="196">
        <f t="shared" si="140"/>
        <v>0</v>
      </c>
      <c r="N240" s="197">
        <f t="shared" si="141"/>
        <v>0</v>
      </c>
      <c r="O240" s="198"/>
      <c r="P240" s="18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</row>
    <row r="241" spans="1:77" s="41" customFormat="1" ht="15.75">
      <c r="A241" s="64">
        <f>IF(F241&lt;&gt;"",1+MAX($A$2:A240),"")</f>
        <v>210</v>
      </c>
      <c r="B241" s="313"/>
      <c r="C241" s="226" t="s">
        <v>295</v>
      </c>
      <c r="D241" s="188">
        <f>83.21+47.93+79.58*8+29.74+69.84+49.43*4+58.41+41.46+12.6</f>
        <v>1177.55</v>
      </c>
      <c r="E241" s="189">
        <v>0</v>
      </c>
      <c r="F241" s="188">
        <f t="shared" si="137"/>
        <v>1177.55</v>
      </c>
      <c r="G241" s="190" t="s">
        <v>14</v>
      </c>
      <c r="H241" s="191">
        <v>0</v>
      </c>
      <c r="I241" s="192">
        <f t="shared" si="138"/>
        <v>0</v>
      </c>
      <c r="J241" s="193">
        <v>0</v>
      </c>
      <c r="K241" s="194">
        <f t="shared" si="139"/>
        <v>0</v>
      </c>
      <c r="L241" s="195">
        <v>55</v>
      </c>
      <c r="M241" s="196">
        <f t="shared" si="140"/>
        <v>0</v>
      </c>
      <c r="N241" s="197">
        <f t="shared" si="141"/>
        <v>0</v>
      </c>
      <c r="O241" s="198"/>
      <c r="P241" s="18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</row>
    <row r="242" spans="1:77" s="41" customFormat="1" ht="15.75">
      <c r="A242" s="64">
        <f>IF(F242&lt;&gt;"",1+MAX($A$2:A241),"")</f>
        <v>211</v>
      </c>
      <c r="B242" s="313"/>
      <c r="C242" s="226" t="s">
        <v>296</v>
      </c>
      <c r="D242" s="188">
        <f>67.58+56.27+179.03+163.96*8+191.78+69.84+136.86+80.25+136.84*4+80.25+14.26+106.98+36.62+46.88*8+41.07+50.7+49.32*4+28.3+38.05+31.14</f>
        <v>3640.3400000000006</v>
      </c>
      <c r="E242" s="189">
        <v>0</v>
      </c>
      <c r="F242" s="188">
        <f t="shared" si="137"/>
        <v>3640.3400000000006</v>
      </c>
      <c r="G242" s="190" t="s">
        <v>14</v>
      </c>
      <c r="H242" s="191">
        <v>0</v>
      </c>
      <c r="I242" s="192">
        <f t="shared" si="138"/>
        <v>0</v>
      </c>
      <c r="J242" s="193">
        <v>0</v>
      </c>
      <c r="K242" s="194">
        <f t="shared" si="139"/>
        <v>0</v>
      </c>
      <c r="L242" s="195">
        <v>55</v>
      </c>
      <c r="M242" s="196">
        <f t="shared" si="140"/>
        <v>0</v>
      </c>
      <c r="N242" s="197">
        <f t="shared" si="141"/>
        <v>0</v>
      </c>
      <c r="O242" s="198"/>
      <c r="P242" s="18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</row>
    <row r="243" spans="1:77" s="41" customFormat="1" ht="15.75">
      <c r="A243" s="64">
        <f>IF(F243&lt;&gt;"",1+MAX($A$2:A242),"")</f>
        <v>212</v>
      </c>
      <c r="B243" s="313"/>
      <c r="C243" s="226" t="s">
        <v>297</v>
      </c>
      <c r="D243" s="188">
        <f>67.58+56.27+179.03+163.96*8+191.78+69.84+136.86+80.25+136.84*4+80.25+14.26+106.98+36.62+46.88*8+41.07+50.7+49.32*4+28.3+38.05+31.14</f>
        <v>3640.3400000000006</v>
      </c>
      <c r="E243" s="189">
        <v>0</v>
      </c>
      <c r="F243" s="188">
        <f t="shared" si="137"/>
        <v>3640.3400000000006</v>
      </c>
      <c r="G243" s="190" t="s">
        <v>14</v>
      </c>
      <c r="H243" s="191">
        <v>0</v>
      </c>
      <c r="I243" s="192">
        <f t="shared" si="138"/>
        <v>0</v>
      </c>
      <c r="J243" s="193">
        <v>0</v>
      </c>
      <c r="K243" s="194">
        <f t="shared" si="139"/>
        <v>0</v>
      </c>
      <c r="L243" s="195">
        <v>55</v>
      </c>
      <c r="M243" s="196">
        <f t="shared" si="140"/>
        <v>0</v>
      </c>
      <c r="N243" s="197">
        <f t="shared" si="141"/>
        <v>0</v>
      </c>
      <c r="O243" s="198"/>
      <c r="P243" s="18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</row>
    <row r="244" spans="1:77" s="41" customFormat="1" ht="15.75">
      <c r="A244" s="64">
        <f>IF(F244&lt;&gt;"",1+MAX($A$2:A243),"")</f>
        <v>213</v>
      </c>
      <c r="B244" s="313"/>
      <c r="C244" s="226" t="s">
        <v>298</v>
      </c>
      <c r="D244" s="188">
        <f>46.88*8+41.07+50.7+49.32*4+28.3+38.05+31.14</f>
        <v>761.57999999999993</v>
      </c>
      <c r="E244" s="189">
        <v>0</v>
      </c>
      <c r="F244" s="188">
        <f t="shared" si="137"/>
        <v>761.57999999999993</v>
      </c>
      <c r="G244" s="190" t="s">
        <v>14</v>
      </c>
      <c r="H244" s="191">
        <v>0</v>
      </c>
      <c r="I244" s="192">
        <f t="shared" si="138"/>
        <v>0</v>
      </c>
      <c r="J244" s="193">
        <v>0</v>
      </c>
      <c r="K244" s="194">
        <f t="shared" si="139"/>
        <v>0</v>
      </c>
      <c r="L244" s="195">
        <v>55</v>
      </c>
      <c r="M244" s="196">
        <f t="shared" si="140"/>
        <v>0</v>
      </c>
      <c r="N244" s="197">
        <f t="shared" si="141"/>
        <v>0</v>
      </c>
      <c r="O244" s="198"/>
      <c r="P244" s="18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</row>
    <row r="245" spans="1:77" s="41" customFormat="1" ht="15.75">
      <c r="A245" s="64">
        <f>IF(F245&lt;&gt;"",1+MAX($A$2:A244),"")</f>
        <v>214</v>
      </c>
      <c r="B245" s="313"/>
      <c r="C245" s="226" t="s">
        <v>299</v>
      </c>
      <c r="D245" s="188">
        <f>46.88*8+41.07+50.7+49.32*4+28.3+38.05+31.14</f>
        <v>761.57999999999993</v>
      </c>
      <c r="E245" s="189">
        <v>0</v>
      </c>
      <c r="F245" s="188">
        <f t="shared" si="137"/>
        <v>761.57999999999993</v>
      </c>
      <c r="G245" s="190" t="s">
        <v>14</v>
      </c>
      <c r="H245" s="191">
        <v>0</v>
      </c>
      <c r="I245" s="192">
        <f t="shared" si="138"/>
        <v>0</v>
      </c>
      <c r="J245" s="193">
        <v>0</v>
      </c>
      <c r="K245" s="194">
        <f t="shared" si="139"/>
        <v>0</v>
      </c>
      <c r="L245" s="195">
        <v>55</v>
      </c>
      <c r="M245" s="196">
        <f t="shared" si="140"/>
        <v>0</v>
      </c>
      <c r="N245" s="197">
        <f t="shared" si="141"/>
        <v>0</v>
      </c>
      <c r="O245" s="198"/>
      <c r="P245" s="18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</row>
    <row r="246" spans="1:77" s="41" customFormat="1" ht="15.75">
      <c r="A246" s="64">
        <f>IF(F246&lt;&gt;"",1+MAX($A$2:A245),"")</f>
        <v>215</v>
      </c>
      <c r="B246" s="313"/>
      <c r="C246" s="226" t="s">
        <v>300</v>
      </c>
      <c r="D246" s="188">
        <f>19.48+170.92+105.41*8+86.53+169.87*4+124.15+78.81+91.75</f>
        <v>2094.3999999999996</v>
      </c>
      <c r="E246" s="189">
        <v>0</v>
      </c>
      <c r="F246" s="188">
        <f t="shared" si="137"/>
        <v>2094.3999999999996</v>
      </c>
      <c r="G246" s="190" t="s">
        <v>14</v>
      </c>
      <c r="H246" s="191">
        <v>0</v>
      </c>
      <c r="I246" s="192">
        <f t="shared" si="138"/>
        <v>0</v>
      </c>
      <c r="J246" s="193">
        <v>0</v>
      </c>
      <c r="K246" s="194">
        <f t="shared" si="139"/>
        <v>0</v>
      </c>
      <c r="L246" s="195">
        <v>55</v>
      </c>
      <c r="M246" s="196">
        <f t="shared" si="140"/>
        <v>0</v>
      </c>
      <c r="N246" s="197">
        <f t="shared" si="141"/>
        <v>0</v>
      </c>
      <c r="O246" s="198"/>
      <c r="P246" s="18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</row>
    <row r="247" spans="1:77" s="41" customFormat="1" ht="15.75">
      <c r="A247" s="64">
        <f>IF(F247&lt;&gt;"",1+MAX($A$2:A246),"")</f>
        <v>216</v>
      </c>
      <c r="B247" s="313"/>
      <c r="C247" s="226" t="s">
        <v>301</v>
      </c>
      <c r="D247" s="188">
        <f>19.48+170.92+105.41*8+86.53+169.87*4+124.15+78.81+91.75</f>
        <v>2094.3999999999996</v>
      </c>
      <c r="E247" s="189">
        <v>0</v>
      </c>
      <c r="F247" s="188">
        <f t="shared" ref="F247:F255" si="142">(1+E247)*D247</f>
        <v>2094.3999999999996</v>
      </c>
      <c r="G247" s="190" t="s">
        <v>14</v>
      </c>
      <c r="H247" s="191">
        <v>0</v>
      </c>
      <c r="I247" s="192">
        <f t="shared" ref="I247:I255" si="143">H247*F247</f>
        <v>0</v>
      </c>
      <c r="J247" s="193">
        <v>0</v>
      </c>
      <c r="K247" s="194">
        <f t="shared" ref="K247:K255" si="144">J247*F247</f>
        <v>0</v>
      </c>
      <c r="L247" s="195">
        <v>55</v>
      </c>
      <c r="M247" s="196">
        <f t="shared" ref="M247:M255" si="145">L247*K247</f>
        <v>0</v>
      </c>
      <c r="N247" s="197">
        <f t="shared" ref="N247:N255" si="146">M247+I247</f>
        <v>0</v>
      </c>
      <c r="O247" s="198"/>
      <c r="P247" s="18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</row>
    <row r="248" spans="1:77" s="41" customFormat="1" ht="15.75">
      <c r="A248" s="64">
        <f>IF(F248&lt;&gt;"",1+MAX($A$2:A247),"")</f>
        <v>217</v>
      </c>
      <c r="B248" s="313"/>
      <c r="C248" s="226" t="s">
        <v>302</v>
      </c>
      <c r="D248" s="188">
        <f>43.68+8.78*8+15.56+36.3*4+16.56</f>
        <v>291.23999999999995</v>
      </c>
      <c r="E248" s="189">
        <v>0</v>
      </c>
      <c r="F248" s="188">
        <f t="shared" si="142"/>
        <v>291.23999999999995</v>
      </c>
      <c r="G248" s="190" t="s">
        <v>14</v>
      </c>
      <c r="H248" s="191">
        <v>0</v>
      </c>
      <c r="I248" s="192">
        <f t="shared" si="143"/>
        <v>0</v>
      </c>
      <c r="J248" s="193">
        <v>0</v>
      </c>
      <c r="K248" s="194">
        <f t="shared" si="144"/>
        <v>0</v>
      </c>
      <c r="L248" s="195">
        <v>55</v>
      </c>
      <c r="M248" s="196">
        <f t="shared" si="145"/>
        <v>0</v>
      </c>
      <c r="N248" s="197">
        <f t="shared" si="146"/>
        <v>0</v>
      </c>
      <c r="O248" s="198"/>
      <c r="P248" s="18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</row>
    <row r="249" spans="1:77" s="41" customFormat="1" ht="15.75">
      <c r="A249" s="64">
        <f>IF(F249&lt;&gt;"",1+MAX($A$2:A248),"")</f>
        <v>218</v>
      </c>
      <c r="B249" s="313"/>
      <c r="C249" s="226" t="s">
        <v>303</v>
      </c>
      <c r="D249" s="188">
        <f>43.68+8.78*8+15.56+36.3*4+16.56</f>
        <v>291.23999999999995</v>
      </c>
      <c r="E249" s="189">
        <v>0</v>
      </c>
      <c r="F249" s="188">
        <f t="shared" si="142"/>
        <v>291.23999999999995</v>
      </c>
      <c r="G249" s="190" t="s">
        <v>14</v>
      </c>
      <c r="H249" s="191">
        <v>0</v>
      </c>
      <c r="I249" s="192">
        <f t="shared" si="143"/>
        <v>0</v>
      </c>
      <c r="J249" s="193">
        <v>0</v>
      </c>
      <c r="K249" s="194">
        <f t="shared" si="144"/>
        <v>0</v>
      </c>
      <c r="L249" s="195">
        <v>55</v>
      </c>
      <c r="M249" s="196">
        <f t="shared" si="145"/>
        <v>0</v>
      </c>
      <c r="N249" s="197">
        <f t="shared" si="146"/>
        <v>0</v>
      </c>
      <c r="O249" s="198"/>
      <c r="P249" s="18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</row>
    <row r="250" spans="1:77" s="41" customFormat="1" ht="15.75">
      <c r="A250" s="64">
        <f>IF(F250&lt;&gt;"",1+MAX($A$2:A249),"")</f>
        <v>219</v>
      </c>
      <c r="B250" s="313"/>
      <c r="C250" s="226" t="s">
        <v>304</v>
      </c>
      <c r="D250" s="188">
        <f>8.72+6.06*4+10.53*8+7.88+4.41</f>
        <v>129.48999999999998</v>
      </c>
      <c r="E250" s="189">
        <v>0</v>
      </c>
      <c r="F250" s="188">
        <f t="shared" si="142"/>
        <v>129.48999999999998</v>
      </c>
      <c r="G250" s="190" t="s">
        <v>14</v>
      </c>
      <c r="H250" s="191">
        <v>0</v>
      </c>
      <c r="I250" s="192">
        <f t="shared" si="143"/>
        <v>0</v>
      </c>
      <c r="J250" s="193">
        <v>0</v>
      </c>
      <c r="K250" s="194">
        <f t="shared" si="144"/>
        <v>0</v>
      </c>
      <c r="L250" s="195">
        <v>55</v>
      </c>
      <c r="M250" s="196">
        <f t="shared" si="145"/>
        <v>0</v>
      </c>
      <c r="N250" s="197">
        <f t="shared" si="146"/>
        <v>0</v>
      </c>
      <c r="O250" s="198"/>
      <c r="P250" s="18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</row>
    <row r="251" spans="1:77" s="41" customFormat="1" ht="15.75">
      <c r="A251" s="64">
        <f>IF(F251&lt;&gt;"",1+MAX($A$2:A250),"")</f>
        <v>220</v>
      </c>
      <c r="B251" s="313"/>
      <c r="C251" s="226" t="s">
        <v>305</v>
      </c>
      <c r="D251" s="188">
        <f>8.72+6.06*4</f>
        <v>32.96</v>
      </c>
      <c r="E251" s="189">
        <v>0</v>
      </c>
      <c r="F251" s="188">
        <f t="shared" si="142"/>
        <v>32.96</v>
      </c>
      <c r="G251" s="190" t="s">
        <v>14</v>
      </c>
      <c r="H251" s="191">
        <v>0</v>
      </c>
      <c r="I251" s="192">
        <f t="shared" si="143"/>
        <v>0</v>
      </c>
      <c r="J251" s="193">
        <v>0</v>
      </c>
      <c r="K251" s="194">
        <f t="shared" si="144"/>
        <v>0</v>
      </c>
      <c r="L251" s="195">
        <v>55</v>
      </c>
      <c r="M251" s="196">
        <f t="shared" si="145"/>
        <v>0</v>
      </c>
      <c r="N251" s="197">
        <f t="shared" si="146"/>
        <v>0</v>
      </c>
      <c r="O251" s="198"/>
      <c r="P251" s="18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</row>
    <row r="252" spans="1:77" s="41" customFormat="1" ht="15.75">
      <c r="A252" s="64">
        <f>IF(F252&lt;&gt;"",1+MAX($A$2:A251),"")</f>
        <v>221</v>
      </c>
      <c r="B252" s="313"/>
      <c r="C252" s="226" t="s">
        <v>306</v>
      </c>
      <c r="D252" s="188">
        <f>93.08+90.54*8+102.18+87.28*4+88.65+68.75+103.13</f>
        <v>1529.2300000000005</v>
      </c>
      <c r="E252" s="189">
        <v>0</v>
      </c>
      <c r="F252" s="188">
        <f t="shared" si="142"/>
        <v>1529.2300000000005</v>
      </c>
      <c r="G252" s="190" t="s">
        <v>14</v>
      </c>
      <c r="H252" s="191">
        <v>0</v>
      </c>
      <c r="I252" s="192">
        <f t="shared" si="143"/>
        <v>0</v>
      </c>
      <c r="J252" s="193">
        <v>0</v>
      </c>
      <c r="K252" s="194">
        <f t="shared" si="144"/>
        <v>0</v>
      </c>
      <c r="L252" s="195">
        <v>55</v>
      </c>
      <c r="M252" s="196">
        <f t="shared" si="145"/>
        <v>0</v>
      </c>
      <c r="N252" s="197">
        <f t="shared" si="146"/>
        <v>0</v>
      </c>
      <c r="O252" s="198"/>
      <c r="P252" s="18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</row>
    <row r="253" spans="1:77" s="41" customFormat="1" ht="15.75">
      <c r="A253" s="64">
        <f>IF(F253&lt;&gt;"",1+MAX($A$2:A252),"")</f>
        <v>222</v>
      </c>
      <c r="B253" s="313"/>
      <c r="C253" s="226" t="s">
        <v>307</v>
      </c>
      <c r="D253" s="188">
        <f>93.08+90.54*8+102.18+87.28*4+88.65+68.75+103.13</f>
        <v>1529.2300000000005</v>
      </c>
      <c r="E253" s="189">
        <v>0</v>
      </c>
      <c r="F253" s="188">
        <f t="shared" si="142"/>
        <v>1529.2300000000005</v>
      </c>
      <c r="G253" s="190" t="s">
        <v>14</v>
      </c>
      <c r="H253" s="191">
        <v>0</v>
      </c>
      <c r="I253" s="192">
        <f t="shared" si="143"/>
        <v>0</v>
      </c>
      <c r="J253" s="193">
        <v>0</v>
      </c>
      <c r="K253" s="194">
        <f t="shared" si="144"/>
        <v>0</v>
      </c>
      <c r="L253" s="195">
        <v>55</v>
      </c>
      <c r="M253" s="196">
        <f t="shared" si="145"/>
        <v>0</v>
      </c>
      <c r="N253" s="197">
        <f t="shared" si="146"/>
        <v>0</v>
      </c>
      <c r="O253" s="198"/>
      <c r="P253" s="18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</row>
    <row r="254" spans="1:77" s="41" customFormat="1" ht="15.75">
      <c r="A254" s="64">
        <f>IF(F254&lt;&gt;"",1+MAX($A$2:A253),"")</f>
        <v>223</v>
      </c>
      <c r="B254" s="313"/>
      <c r="C254" s="226" t="s">
        <v>308</v>
      </c>
      <c r="D254" s="188">
        <f>914.16+13.08*8+27.73+23.68*4+8.28+28.2+3.71+21.38+29.53*8+18.98+17.48*4+20.81+19.7+19.01</f>
        <v>1587.4800000000002</v>
      </c>
      <c r="E254" s="189">
        <v>0</v>
      </c>
      <c r="F254" s="188">
        <f t="shared" si="142"/>
        <v>1587.4800000000002</v>
      </c>
      <c r="G254" s="190" t="s">
        <v>14</v>
      </c>
      <c r="H254" s="191">
        <v>0</v>
      </c>
      <c r="I254" s="192">
        <f t="shared" si="143"/>
        <v>0</v>
      </c>
      <c r="J254" s="193">
        <v>0</v>
      </c>
      <c r="K254" s="194">
        <f t="shared" si="144"/>
        <v>0</v>
      </c>
      <c r="L254" s="195">
        <v>55</v>
      </c>
      <c r="M254" s="196">
        <f t="shared" si="145"/>
        <v>0</v>
      </c>
      <c r="N254" s="197">
        <f t="shared" si="146"/>
        <v>0</v>
      </c>
      <c r="O254" s="198"/>
      <c r="P254" s="18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</row>
    <row r="255" spans="1:77" s="41" customFormat="1" ht="15.75">
      <c r="A255" s="64">
        <f>IF(F255&lt;&gt;"",1+MAX($A$2:A254),"")</f>
        <v>224</v>
      </c>
      <c r="B255" s="313"/>
      <c r="C255" s="226" t="s">
        <v>309</v>
      </c>
      <c r="D255" s="188">
        <f>914.16+13.08*8+27.73+23.68*4+8.28+28.2+3.71+21.38+29.53*8+18.98+17.48*4+20.81+19.7+19.01</f>
        <v>1587.4800000000002</v>
      </c>
      <c r="E255" s="189">
        <v>0</v>
      </c>
      <c r="F255" s="188">
        <f t="shared" si="142"/>
        <v>1587.4800000000002</v>
      </c>
      <c r="G255" s="190" t="s">
        <v>14</v>
      </c>
      <c r="H255" s="191">
        <v>0</v>
      </c>
      <c r="I255" s="192">
        <f t="shared" si="143"/>
        <v>0</v>
      </c>
      <c r="J255" s="193">
        <v>0</v>
      </c>
      <c r="K255" s="194">
        <f t="shared" si="144"/>
        <v>0</v>
      </c>
      <c r="L255" s="195">
        <v>55</v>
      </c>
      <c r="M255" s="196">
        <f t="shared" si="145"/>
        <v>0</v>
      </c>
      <c r="N255" s="197">
        <f t="shared" si="146"/>
        <v>0</v>
      </c>
      <c r="O255" s="198"/>
      <c r="P255" s="18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</row>
    <row r="256" spans="1:77" s="41" customFormat="1" ht="15.75">
      <c r="A256" s="64" t="str">
        <f>IF(F256&lt;&gt;"",1+MAX($A$2:A255),"")</f>
        <v/>
      </c>
      <c r="B256" s="313"/>
      <c r="C256" s="252" t="s">
        <v>858</v>
      </c>
      <c r="D256" s="243"/>
      <c r="E256" s="244"/>
      <c r="F256" s="243"/>
      <c r="G256" s="245"/>
      <c r="H256" s="246"/>
      <c r="I256" s="247"/>
      <c r="J256" s="247"/>
      <c r="K256" s="247"/>
      <c r="L256" s="248"/>
      <c r="M256" s="249"/>
      <c r="N256" s="250"/>
      <c r="O256" s="251"/>
      <c r="P256" s="18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</row>
    <row r="257" spans="1:77" s="41" customFormat="1" ht="15.75">
      <c r="A257" s="64">
        <f>IF(F257&lt;&gt;"",1+MAX($A$2:A256),"")</f>
        <v>225</v>
      </c>
      <c r="B257" s="313"/>
      <c r="C257" s="253" t="s">
        <v>859</v>
      </c>
      <c r="D257" s="243">
        <f>54.93+327.6</f>
        <v>382.53000000000003</v>
      </c>
      <c r="E257" s="244">
        <v>0.05</v>
      </c>
      <c r="F257" s="243">
        <f t="shared" ref="F257:F259" si="147">(1+E257)*D257</f>
        <v>401.65650000000005</v>
      </c>
      <c r="G257" s="245" t="s">
        <v>13</v>
      </c>
      <c r="H257" s="246">
        <v>0</v>
      </c>
      <c r="I257" s="247">
        <f t="shared" ref="I257:I259" si="148">H257*F257</f>
        <v>0</v>
      </c>
      <c r="J257" s="254">
        <v>0</v>
      </c>
      <c r="K257" s="255">
        <f t="shared" ref="K257:K259" si="149">J257*F257</f>
        <v>0</v>
      </c>
      <c r="L257" s="256">
        <v>55</v>
      </c>
      <c r="M257" s="257">
        <f t="shared" ref="M257:M259" si="150">L257*K257</f>
        <v>0</v>
      </c>
      <c r="N257" s="250">
        <f t="shared" ref="N257:N259" si="151">M257+I257</f>
        <v>0</v>
      </c>
      <c r="O257" s="251"/>
      <c r="P257" s="18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</row>
    <row r="258" spans="1:77" s="41" customFormat="1" ht="15.75">
      <c r="A258" s="64">
        <f>IF(F258&lt;&gt;"",1+MAX($A$2:A257),"")</f>
        <v>226</v>
      </c>
      <c r="B258" s="313"/>
      <c r="C258" s="253" t="s">
        <v>860</v>
      </c>
      <c r="D258" s="243">
        <f>299.74+334.8</f>
        <v>634.54</v>
      </c>
      <c r="E258" s="244">
        <v>0.05</v>
      </c>
      <c r="F258" s="243">
        <f t="shared" si="147"/>
        <v>666.26699999999994</v>
      </c>
      <c r="G258" s="245" t="s">
        <v>13</v>
      </c>
      <c r="H258" s="246">
        <v>0</v>
      </c>
      <c r="I258" s="247">
        <f t="shared" si="148"/>
        <v>0</v>
      </c>
      <c r="J258" s="254">
        <v>0</v>
      </c>
      <c r="K258" s="255">
        <f t="shared" si="149"/>
        <v>0</v>
      </c>
      <c r="L258" s="256">
        <v>55</v>
      </c>
      <c r="M258" s="257">
        <f t="shared" si="150"/>
        <v>0</v>
      </c>
      <c r="N258" s="250">
        <f t="shared" si="151"/>
        <v>0</v>
      </c>
      <c r="O258" s="251"/>
      <c r="P258" s="18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</row>
    <row r="259" spans="1:77" s="41" customFormat="1" ht="15.75">
      <c r="A259" s="64">
        <f>IF(F259&lt;&gt;"",1+MAX($A$2:A258),"")</f>
        <v>227</v>
      </c>
      <c r="B259" s="313"/>
      <c r="C259" s="253" t="s">
        <v>861</v>
      </c>
      <c r="D259" s="243">
        <v>570.42999999999995</v>
      </c>
      <c r="E259" s="244">
        <v>0.05</v>
      </c>
      <c r="F259" s="243">
        <f t="shared" si="147"/>
        <v>598.95150000000001</v>
      </c>
      <c r="G259" s="245" t="s">
        <v>13</v>
      </c>
      <c r="H259" s="246">
        <v>0</v>
      </c>
      <c r="I259" s="247">
        <f t="shared" si="148"/>
        <v>0</v>
      </c>
      <c r="J259" s="254">
        <v>0</v>
      </c>
      <c r="K259" s="255">
        <f t="shared" si="149"/>
        <v>0</v>
      </c>
      <c r="L259" s="256">
        <v>55</v>
      </c>
      <c r="M259" s="257">
        <f t="shared" si="150"/>
        <v>0</v>
      </c>
      <c r="N259" s="250">
        <f t="shared" si="151"/>
        <v>0</v>
      </c>
      <c r="O259" s="251"/>
      <c r="P259" s="18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</row>
    <row r="260" spans="1:77" s="41" customFormat="1" ht="15.75">
      <c r="A260" s="64" t="str">
        <f>IF(F260&lt;&gt;"",1+MAX($A$2:A259),"")</f>
        <v/>
      </c>
      <c r="B260" s="313"/>
      <c r="C260" s="252" t="s">
        <v>862</v>
      </c>
      <c r="D260" s="243"/>
      <c r="E260" s="244"/>
      <c r="F260" s="243"/>
      <c r="G260" s="245"/>
      <c r="H260" s="246"/>
      <c r="I260" s="247"/>
      <c r="J260" s="247"/>
      <c r="K260" s="247"/>
      <c r="L260" s="248"/>
      <c r="M260" s="249"/>
      <c r="N260" s="250"/>
      <c r="O260" s="251"/>
      <c r="P260" s="18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</row>
    <row r="261" spans="1:77" s="41" customFormat="1" ht="15.75">
      <c r="A261" s="64">
        <f>IF(F261&lt;&gt;"",1+MAX($A$2:A260),"")</f>
        <v>228</v>
      </c>
      <c r="B261" s="314"/>
      <c r="C261" s="253" t="s">
        <v>863</v>
      </c>
      <c r="D261" s="243">
        <v>620</v>
      </c>
      <c r="E261" s="244">
        <v>0</v>
      </c>
      <c r="F261" s="243">
        <f t="shared" ref="F261" si="152">(1+E261)*D261</f>
        <v>620</v>
      </c>
      <c r="G261" s="245" t="s">
        <v>14</v>
      </c>
      <c r="H261" s="246">
        <v>0</v>
      </c>
      <c r="I261" s="247">
        <f t="shared" ref="I261" si="153">H261*F261</f>
        <v>0</v>
      </c>
      <c r="J261" s="254">
        <v>0</v>
      </c>
      <c r="K261" s="255">
        <f t="shared" ref="K261" si="154">J261*F261</f>
        <v>0</v>
      </c>
      <c r="L261" s="256">
        <v>55</v>
      </c>
      <c r="M261" s="257">
        <f t="shared" ref="M261" si="155">L261*K261</f>
        <v>0</v>
      </c>
      <c r="N261" s="250">
        <f t="shared" ref="N261" si="156">M261+I261</f>
        <v>0</v>
      </c>
      <c r="O261" s="251"/>
      <c r="P261" s="18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</row>
    <row r="262" spans="1:77" s="41" customFormat="1" ht="15.75">
      <c r="A262" s="33"/>
      <c r="B262" s="34"/>
      <c r="C262" s="35"/>
      <c r="D262" s="36"/>
      <c r="E262" s="37"/>
      <c r="F262" s="36"/>
      <c r="G262" s="38"/>
      <c r="H262" s="27"/>
      <c r="I262" s="39"/>
      <c r="J262" s="39"/>
      <c r="K262" s="39"/>
      <c r="L262" s="40"/>
      <c r="M262" s="28"/>
      <c r="N262" s="29"/>
      <c r="O262" s="30"/>
      <c r="P262" s="31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</row>
    <row r="263" spans="1:77" s="42" customFormat="1" ht="18.75">
      <c r="A263" s="310" t="s">
        <v>864</v>
      </c>
      <c r="B263" s="311"/>
      <c r="C263" s="311"/>
      <c r="D263" s="311"/>
      <c r="E263" s="311"/>
      <c r="F263" s="311"/>
      <c r="G263" s="311"/>
      <c r="H263" s="311"/>
      <c r="I263" s="311"/>
      <c r="J263" s="311"/>
      <c r="K263" s="311"/>
      <c r="L263" s="311"/>
      <c r="M263" s="311"/>
      <c r="N263" s="311"/>
      <c r="O263" s="311"/>
      <c r="P263" s="240">
        <f>SUM(N264:N287)</f>
        <v>0</v>
      </c>
      <c r="Q263" s="2"/>
      <c r="R263" s="2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</row>
    <row r="264" spans="1:77" s="41" customFormat="1" ht="15.75">
      <c r="A264" s="241" t="str">
        <f>IF(F264&lt;&gt;"",1+MAX($A$2:A263),"")</f>
        <v/>
      </c>
      <c r="B264" s="279"/>
      <c r="C264" s="242"/>
      <c r="D264" s="243"/>
      <c r="E264" s="244"/>
      <c r="F264" s="243"/>
      <c r="G264" s="245"/>
      <c r="H264" s="246"/>
      <c r="I264" s="247"/>
      <c r="J264" s="247"/>
      <c r="K264" s="247"/>
      <c r="L264" s="248"/>
      <c r="M264" s="249"/>
      <c r="N264" s="250"/>
      <c r="O264" s="251"/>
      <c r="P264" s="18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</row>
    <row r="265" spans="1:77" s="2" customFormat="1" ht="15.75">
      <c r="A265" s="241" t="str">
        <f>IF(F265&lt;&gt;"",1+MAX($A$2:A264),"")</f>
        <v/>
      </c>
      <c r="B265" s="313" t="s">
        <v>857</v>
      </c>
      <c r="C265" s="252" t="s">
        <v>865</v>
      </c>
      <c r="D265" s="243"/>
      <c r="E265" s="244"/>
      <c r="F265" s="243"/>
      <c r="G265" s="245"/>
      <c r="H265" s="246"/>
      <c r="I265" s="247"/>
      <c r="J265" s="247"/>
      <c r="K265" s="247"/>
      <c r="L265" s="256"/>
      <c r="M265" s="249"/>
      <c r="N265" s="250"/>
      <c r="O265" s="251"/>
      <c r="P265" s="18"/>
    </row>
    <row r="266" spans="1:77" s="2" customFormat="1" ht="15.75">
      <c r="A266" s="64">
        <f>IF(F266&lt;&gt;"",1+MAX($A$2:A265),"")</f>
        <v>229</v>
      </c>
      <c r="B266" s="313"/>
      <c r="C266" s="253" t="s">
        <v>866</v>
      </c>
      <c r="D266" s="243">
        <v>16.09</v>
      </c>
      <c r="E266" s="244">
        <v>0.05</v>
      </c>
      <c r="F266" s="243">
        <f t="shared" ref="F266:F286" si="157">(1+E266)*D266</f>
        <v>16.894500000000001</v>
      </c>
      <c r="G266" s="245" t="s">
        <v>13</v>
      </c>
      <c r="H266" s="246">
        <v>0</v>
      </c>
      <c r="I266" s="247">
        <f t="shared" ref="I266:I286" si="158">H266*F266</f>
        <v>0</v>
      </c>
      <c r="J266" s="254">
        <v>0</v>
      </c>
      <c r="K266" s="255">
        <f t="shared" ref="K266:K286" si="159">J266*F266</f>
        <v>0</v>
      </c>
      <c r="L266" s="256">
        <v>55</v>
      </c>
      <c r="M266" s="257">
        <f t="shared" ref="M266:M286" si="160">L266*K266</f>
        <v>0</v>
      </c>
      <c r="N266" s="250">
        <f t="shared" ref="N266:N286" si="161">M266+I266</f>
        <v>0</v>
      </c>
      <c r="O266" s="251"/>
      <c r="P266" s="18"/>
    </row>
    <row r="267" spans="1:77" s="2" customFormat="1" ht="15.75">
      <c r="A267" s="64">
        <f>IF(F267&lt;&gt;"",1+MAX($A$2:A266),"")</f>
        <v>230</v>
      </c>
      <c r="B267" s="313"/>
      <c r="C267" s="253" t="s">
        <v>867</v>
      </c>
      <c r="D267" s="243">
        <f>36.13+221.6+82</f>
        <v>339.73</v>
      </c>
      <c r="E267" s="244">
        <v>0.05</v>
      </c>
      <c r="F267" s="243">
        <f t="shared" si="157"/>
        <v>356.71650000000005</v>
      </c>
      <c r="G267" s="245" t="s">
        <v>13</v>
      </c>
      <c r="H267" s="246">
        <v>0</v>
      </c>
      <c r="I267" s="247">
        <f t="shared" si="158"/>
        <v>0</v>
      </c>
      <c r="J267" s="254">
        <v>0</v>
      </c>
      <c r="K267" s="255">
        <f t="shared" si="159"/>
        <v>0</v>
      </c>
      <c r="L267" s="256">
        <v>55</v>
      </c>
      <c r="M267" s="257">
        <f t="shared" si="160"/>
        <v>0</v>
      </c>
      <c r="N267" s="250">
        <f t="shared" si="161"/>
        <v>0</v>
      </c>
      <c r="O267" s="251"/>
      <c r="P267" s="18"/>
    </row>
    <row r="268" spans="1:77" s="2" customFormat="1" ht="15.75">
      <c r="A268" s="64">
        <f>IF(F268&lt;&gt;"",1+MAX($A$2:A267),"")</f>
        <v>231</v>
      </c>
      <c r="B268" s="313"/>
      <c r="C268" s="253" t="s">
        <v>868</v>
      </c>
      <c r="D268" s="243">
        <v>2.94</v>
      </c>
      <c r="E268" s="244">
        <v>0.05</v>
      </c>
      <c r="F268" s="243">
        <f t="shared" si="157"/>
        <v>3.0870000000000002</v>
      </c>
      <c r="G268" s="245" t="s">
        <v>13</v>
      </c>
      <c r="H268" s="246">
        <v>0</v>
      </c>
      <c r="I268" s="247">
        <f t="shared" si="158"/>
        <v>0</v>
      </c>
      <c r="J268" s="254">
        <v>0</v>
      </c>
      <c r="K268" s="255">
        <f t="shared" si="159"/>
        <v>0</v>
      </c>
      <c r="L268" s="256">
        <v>55</v>
      </c>
      <c r="M268" s="257">
        <f t="shared" si="160"/>
        <v>0</v>
      </c>
      <c r="N268" s="250">
        <f t="shared" si="161"/>
        <v>0</v>
      </c>
      <c r="O268" s="251"/>
      <c r="P268" s="18"/>
    </row>
    <row r="269" spans="1:77" s="2" customFormat="1" ht="15.75">
      <c r="A269" s="64">
        <f>IF(F269&lt;&gt;"",1+MAX($A$2:A268),"")</f>
        <v>232</v>
      </c>
      <c r="B269" s="313"/>
      <c r="C269" s="253" t="s">
        <v>869</v>
      </c>
      <c r="D269" s="243">
        <f>3.03+14.8</f>
        <v>17.830000000000002</v>
      </c>
      <c r="E269" s="244">
        <v>0.05</v>
      </c>
      <c r="F269" s="243">
        <f t="shared" si="157"/>
        <v>18.721500000000002</v>
      </c>
      <c r="G269" s="245" t="s">
        <v>13</v>
      </c>
      <c r="H269" s="246">
        <v>0</v>
      </c>
      <c r="I269" s="247">
        <f t="shared" si="158"/>
        <v>0</v>
      </c>
      <c r="J269" s="254">
        <v>0</v>
      </c>
      <c r="K269" s="255">
        <f t="shared" si="159"/>
        <v>0</v>
      </c>
      <c r="L269" s="256">
        <v>55</v>
      </c>
      <c r="M269" s="257">
        <f t="shared" si="160"/>
        <v>0</v>
      </c>
      <c r="N269" s="250">
        <f t="shared" si="161"/>
        <v>0</v>
      </c>
      <c r="O269" s="251"/>
      <c r="P269" s="18"/>
    </row>
    <row r="270" spans="1:77" s="2" customFormat="1" ht="15.75">
      <c r="A270" s="64">
        <f>IF(F270&lt;&gt;"",1+MAX($A$2:A269),"")</f>
        <v>233</v>
      </c>
      <c r="B270" s="313"/>
      <c r="C270" s="253" t="s">
        <v>870</v>
      </c>
      <c r="D270" s="243">
        <v>15.78</v>
      </c>
      <c r="E270" s="244">
        <v>0.05</v>
      </c>
      <c r="F270" s="243">
        <f t="shared" si="157"/>
        <v>16.568999999999999</v>
      </c>
      <c r="G270" s="245" t="s">
        <v>13</v>
      </c>
      <c r="H270" s="246">
        <v>0</v>
      </c>
      <c r="I270" s="247">
        <f t="shared" si="158"/>
        <v>0</v>
      </c>
      <c r="J270" s="254">
        <v>0</v>
      </c>
      <c r="K270" s="255">
        <f t="shared" si="159"/>
        <v>0</v>
      </c>
      <c r="L270" s="256">
        <v>55</v>
      </c>
      <c r="M270" s="257">
        <f t="shared" si="160"/>
        <v>0</v>
      </c>
      <c r="N270" s="250">
        <f t="shared" si="161"/>
        <v>0</v>
      </c>
      <c r="O270" s="251"/>
      <c r="P270" s="18"/>
    </row>
    <row r="271" spans="1:77" s="2" customFormat="1" ht="15.75">
      <c r="A271" s="64">
        <f>IF(F271&lt;&gt;"",1+MAX($A$2:A270),"")</f>
        <v>234</v>
      </c>
      <c r="B271" s="313"/>
      <c r="C271" s="253" t="s">
        <v>871</v>
      </c>
      <c r="D271" s="243">
        <f>29.92+22</f>
        <v>51.92</v>
      </c>
      <c r="E271" s="244">
        <v>0.05</v>
      </c>
      <c r="F271" s="243">
        <f t="shared" si="157"/>
        <v>54.516000000000005</v>
      </c>
      <c r="G271" s="245" t="s">
        <v>13</v>
      </c>
      <c r="H271" s="246">
        <v>0</v>
      </c>
      <c r="I271" s="247">
        <f t="shared" si="158"/>
        <v>0</v>
      </c>
      <c r="J271" s="254">
        <v>0</v>
      </c>
      <c r="K271" s="255">
        <f t="shared" si="159"/>
        <v>0</v>
      </c>
      <c r="L271" s="256">
        <v>55</v>
      </c>
      <c r="M271" s="257">
        <f t="shared" si="160"/>
        <v>0</v>
      </c>
      <c r="N271" s="250">
        <f t="shared" si="161"/>
        <v>0</v>
      </c>
      <c r="O271" s="251"/>
      <c r="P271" s="18"/>
    </row>
    <row r="272" spans="1:77" s="2" customFormat="1" ht="15.75">
      <c r="A272" s="64">
        <f>IF(F272&lt;&gt;"",1+MAX($A$2:A271),"")</f>
        <v>235</v>
      </c>
      <c r="B272" s="313"/>
      <c r="C272" s="253" t="s">
        <v>872</v>
      </c>
      <c r="D272" s="243">
        <f>8.48</f>
        <v>8.48</v>
      </c>
      <c r="E272" s="244">
        <v>0.05</v>
      </c>
      <c r="F272" s="243">
        <f t="shared" si="157"/>
        <v>8.9040000000000017</v>
      </c>
      <c r="G272" s="245" t="s">
        <v>13</v>
      </c>
      <c r="H272" s="246">
        <v>0</v>
      </c>
      <c r="I272" s="247">
        <f t="shared" si="158"/>
        <v>0</v>
      </c>
      <c r="J272" s="254">
        <v>0</v>
      </c>
      <c r="K272" s="255">
        <f t="shared" si="159"/>
        <v>0</v>
      </c>
      <c r="L272" s="256">
        <v>55</v>
      </c>
      <c r="M272" s="257">
        <f t="shared" si="160"/>
        <v>0</v>
      </c>
      <c r="N272" s="250">
        <f t="shared" si="161"/>
        <v>0</v>
      </c>
      <c r="O272" s="251"/>
      <c r="P272" s="18"/>
    </row>
    <row r="273" spans="1:70" s="2" customFormat="1" ht="15.75">
      <c r="A273" s="64">
        <f>IF(F273&lt;&gt;"",1+MAX($A$2:A272),"")</f>
        <v>236</v>
      </c>
      <c r="B273" s="313"/>
      <c r="C273" s="253" t="s">
        <v>873</v>
      </c>
      <c r="D273" s="243">
        <f>43.13+125.6+50</f>
        <v>218.73</v>
      </c>
      <c r="E273" s="244">
        <v>0.05</v>
      </c>
      <c r="F273" s="243">
        <f t="shared" si="157"/>
        <v>229.66649999999998</v>
      </c>
      <c r="G273" s="245" t="s">
        <v>13</v>
      </c>
      <c r="H273" s="246">
        <v>0</v>
      </c>
      <c r="I273" s="247">
        <f t="shared" si="158"/>
        <v>0</v>
      </c>
      <c r="J273" s="254">
        <v>0</v>
      </c>
      <c r="K273" s="255">
        <f t="shared" si="159"/>
        <v>0</v>
      </c>
      <c r="L273" s="256">
        <v>55</v>
      </c>
      <c r="M273" s="257">
        <f t="shared" si="160"/>
        <v>0</v>
      </c>
      <c r="N273" s="250">
        <f t="shared" si="161"/>
        <v>0</v>
      </c>
      <c r="O273" s="251"/>
      <c r="P273" s="18"/>
    </row>
    <row r="274" spans="1:70" s="2" customFormat="1" ht="15.75">
      <c r="A274" s="64">
        <f>IF(F274&lt;&gt;"",1+MAX($A$2:A273),"")</f>
        <v>237</v>
      </c>
      <c r="B274" s="313"/>
      <c r="C274" s="253" t="s">
        <v>1033</v>
      </c>
      <c r="D274" s="243">
        <v>7.56</v>
      </c>
      <c r="E274" s="244">
        <v>0.05</v>
      </c>
      <c r="F274" s="243">
        <f t="shared" ref="F274" si="162">(1+E274)*D274</f>
        <v>7.9379999999999997</v>
      </c>
      <c r="G274" s="245" t="s">
        <v>13</v>
      </c>
      <c r="H274" s="246">
        <v>0</v>
      </c>
      <c r="I274" s="247">
        <f t="shared" ref="I274" si="163">H274*F274</f>
        <v>0</v>
      </c>
      <c r="J274" s="254">
        <v>0</v>
      </c>
      <c r="K274" s="255">
        <f t="shared" ref="K274" si="164">J274*F274</f>
        <v>0</v>
      </c>
      <c r="L274" s="256">
        <v>55</v>
      </c>
      <c r="M274" s="257">
        <f t="shared" ref="M274" si="165">L274*K274</f>
        <v>0</v>
      </c>
      <c r="N274" s="250">
        <f t="shared" ref="N274" si="166">M274+I274</f>
        <v>0</v>
      </c>
      <c r="O274" s="251"/>
      <c r="P274" s="18"/>
    </row>
    <row r="275" spans="1:70" s="2" customFormat="1" ht="15.75">
      <c r="A275" s="64">
        <f>IF(F275&lt;&gt;"",1+MAX($A$2:A273),"")</f>
        <v>237</v>
      </c>
      <c r="B275" s="313"/>
      <c r="C275" s="253" t="s">
        <v>874</v>
      </c>
      <c r="D275" s="243">
        <v>5.21</v>
      </c>
      <c r="E275" s="244">
        <v>0.05</v>
      </c>
      <c r="F275" s="243">
        <f t="shared" si="157"/>
        <v>5.4705000000000004</v>
      </c>
      <c r="G275" s="245" t="s">
        <v>13</v>
      </c>
      <c r="H275" s="246">
        <v>0</v>
      </c>
      <c r="I275" s="247">
        <f t="shared" si="158"/>
        <v>0</v>
      </c>
      <c r="J275" s="254">
        <v>0</v>
      </c>
      <c r="K275" s="255">
        <f t="shared" si="159"/>
        <v>0</v>
      </c>
      <c r="L275" s="256">
        <v>55</v>
      </c>
      <c r="M275" s="257">
        <f t="shared" si="160"/>
        <v>0</v>
      </c>
      <c r="N275" s="250">
        <f t="shared" si="161"/>
        <v>0</v>
      </c>
      <c r="O275" s="251"/>
      <c r="P275" s="18"/>
    </row>
    <row r="276" spans="1:70" s="2" customFormat="1" ht="15.75">
      <c r="A276" s="64">
        <f>IF(F276&lt;&gt;"",1+MAX($A$2:A275),"")</f>
        <v>238</v>
      </c>
      <c r="B276" s="313"/>
      <c r="C276" s="253" t="s">
        <v>875</v>
      </c>
      <c r="D276" s="243">
        <v>24.28</v>
      </c>
      <c r="E276" s="244">
        <v>0.05</v>
      </c>
      <c r="F276" s="243">
        <f t="shared" si="157"/>
        <v>25.494000000000003</v>
      </c>
      <c r="G276" s="245" t="s">
        <v>13</v>
      </c>
      <c r="H276" s="246">
        <v>0</v>
      </c>
      <c r="I276" s="247">
        <f t="shared" si="158"/>
        <v>0</v>
      </c>
      <c r="J276" s="254">
        <v>0</v>
      </c>
      <c r="K276" s="255">
        <f t="shared" si="159"/>
        <v>0</v>
      </c>
      <c r="L276" s="256">
        <v>55</v>
      </c>
      <c r="M276" s="257">
        <f t="shared" si="160"/>
        <v>0</v>
      </c>
      <c r="N276" s="250">
        <f t="shared" si="161"/>
        <v>0</v>
      </c>
      <c r="O276" s="251"/>
      <c r="P276" s="18"/>
    </row>
    <row r="277" spans="1:70" s="2" customFormat="1" ht="15.75">
      <c r="A277" s="64">
        <f>IF(F277&lt;&gt;"",1+MAX($A$2:A276),"")</f>
        <v>239</v>
      </c>
      <c r="B277" s="313"/>
      <c r="C277" s="253" t="s">
        <v>876</v>
      </c>
      <c r="D277" s="243">
        <v>4.03</v>
      </c>
      <c r="E277" s="244">
        <v>0.05</v>
      </c>
      <c r="F277" s="243">
        <f t="shared" si="157"/>
        <v>4.2315000000000005</v>
      </c>
      <c r="G277" s="245" t="s">
        <v>13</v>
      </c>
      <c r="H277" s="246">
        <v>0</v>
      </c>
      <c r="I277" s="247">
        <f t="shared" si="158"/>
        <v>0</v>
      </c>
      <c r="J277" s="254">
        <v>0</v>
      </c>
      <c r="K277" s="255">
        <f t="shared" si="159"/>
        <v>0</v>
      </c>
      <c r="L277" s="256">
        <v>55</v>
      </c>
      <c r="M277" s="257">
        <f t="shared" si="160"/>
        <v>0</v>
      </c>
      <c r="N277" s="250">
        <f t="shared" si="161"/>
        <v>0</v>
      </c>
      <c r="O277" s="251"/>
      <c r="P277" s="18"/>
    </row>
    <row r="278" spans="1:70" s="2" customFormat="1" ht="15.75">
      <c r="A278" s="64">
        <f>IF(F278&lt;&gt;"",1+MAX($A$2:A277),"")</f>
        <v>240</v>
      </c>
      <c r="B278" s="313"/>
      <c r="C278" s="253" t="s">
        <v>877</v>
      </c>
      <c r="D278" s="243">
        <f>75.8+15.2</f>
        <v>91</v>
      </c>
      <c r="E278" s="244">
        <v>0.05</v>
      </c>
      <c r="F278" s="243">
        <f t="shared" si="157"/>
        <v>95.55</v>
      </c>
      <c r="G278" s="245" t="s">
        <v>13</v>
      </c>
      <c r="H278" s="246">
        <v>0</v>
      </c>
      <c r="I278" s="247">
        <f t="shared" si="158"/>
        <v>0</v>
      </c>
      <c r="J278" s="254">
        <v>0</v>
      </c>
      <c r="K278" s="255">
        <f t="shared" si="159"/>
        <v>0</v>
      </c>
      <c r="L278" s="256">
        <v>55</v>
      </c>
      <c r="M278" s="257">
        <f t="shared" si="160"/>
        <v>0</v>
      </c>
      <c r="N278" s="250">
        <f t="shared" si="161"/>
        <v>0</v>
      </c>
      <c r="O278" s="251"/>
      <c r="P278" s="18"/>
    </row>
    <row r="279" spans="1:70" s="2" customFormat="1" ht="15.75">
      <c r="A279" s="64">
        <f>IF(F279&lt;&gt;"",1+MAX($A$2:A278),"")</f>
        <v>241</v>
      </c>
      <c r="B279" s="313"/>
      <c r="C279" s="253" t="s">
        <v>878</v>
      </c>
      <c r="D279" s="243">
        <v>68.400000000000006</v>
      </c>
      <c r="E279" s="244">
        <v>0.05</v>
      </c>
      <c r="F279" s="243">
        <f t="shared" si="157"/>
        <v>71.820000000000007</v>
      </c>
      <c r="G279" s="245" t="s">
        <v>13</v>
      </c>
      <c r="H279" s="246">
        <v>0</v>
      </c>
      <c r="I279" s="247">
        <f t="shared" si="158"/>
        <v>0</v>
      </c>
      <c r="J279" s="254">
        <v>0</v>
      </c>
      <c r="K279" s="255">
        <f t="shared" si="159"/>
        <v>0</v>
      </c>
      <c r="L279" s="256">
        <v>55</v>
      </c>
      <c r="M279" s="257">
        <f t="shared" si="160"/>
        <v>0</v>
      </c>
      <c r="N279" s="250">
        <f t="shared" si="161"/>
        <v>0</v>
      </c>
      <c r="O279" s="251"/>
      <c r="P279" s="18"/>
    </row>
    <row r="280" spans="1:70" s="2" customFormat="1" ht="15.75">
      <c r="A280" s="64">
        <f>IF(F280&lt;&gt;"",1+MAX($A$2:A279),"")</f>
        <v>242</v>
      </c>
      <c r="B280" s="313"/>
      <c r="C280" s="253" t="s">
        <v>879</v>
      </c>
      <c r="D280" s="243">
        <f>87.2+181.4+117.2</f>
        <v>385.8</v>
      </c>
      <c r="E280" s="244">
        <v>0.05</v>
      </c>
      <c r="F280" s="243">
        <f t="shared" si="157"/>
        <v>405.09000000000003</v>
      </c>
      <c r="G280" s="245" t="s">
        <v>13</v>
      </c>
      <c r="H280" s="246">
        <v>0</v>
      </c>
      <c r="I280" s="247">
        <f t="shared" si="158"/>
        <v>0</v>
      </c>
      <c r="J280" s="254">
        <v>0</v>
      </c>
      <c r="K280" s="255">
        <f t="shared" si="159"/>
        <v>0</v>
      </c>
      <c r="L280" s="256">
        <v>55</v>
      </c>
      <c r="M280" s="257">
        <f t="shared" si="160"/>
        <v>0</v>
      </c>
      <c r="N280" s="250">
        <f t="shared" si="161"/>
        <v>0</v>
      </c>
      <c r="O280" s="251"/>
      <c r="P280" s="18"/>
    </row>
    <row r="281" spans="1:70" s="2" customFormat="1" ht="15.75">
      <c r="A281" s="64">
        <f>IF(F281&lt;&gt;"",1+MAX($A$2:A280),"")</f>
        <v>243</v>
      </c>
      <c r="B281" s="313"/>
      <c r="C281" s="253" t="s">
        <v>880</v>
      </c>
      <c r="D281" s="243">
        <v>8.2899999999999991</v>
      </c>
      <c r="E281" s="244">
        <v>0.05</v>
      </c>
      <c r="F281" s="243">
        <f t="shared" si="157"/>
        <v>8.7044999999999995</v>
      </c>
      <c r="G281" s="245" t="s">
        <v>13</v>
      </c>
      <c r="H281" s="246">
        <v>0</v>
      </c>
      <c r="I281" s="247">
        <f t="shared" si="158"/>
        <v>0</v>
      </c>
      <c r="J281" s="254">
        <v>0</v>
      </c>
      <c r="K281" s="255">
        <f t="shared" si="159"/>
        <v>0</v>
      </c>
      <c r="L281" s="256">
        <v>55</v>
      </c>
      <c r="M281" s="257">
        <f t="shared" si="160"/>
        <v>0</v>
      </c>
      <c r="N281" s="250">
        <f t="shared" si="161"/>
        <v>0</v>
      </c>
      <c r="O281" s="251"/>
      <c r="P281" s="18"/>
    </row>
    <row r="282" spans="1:70" s="2" customFormat="1" ht="15.75">
      <c r="A282" s="64">
        <f>IF(F282&lt;&gt;"",1+MAX($A$2:A281),"")</f>
        <v>244</v>
      </c>
      <c r="B282" s="313"/>
      <c r="C282" s="253" t="s">
        <v>881</v>
      </c>
      <c r="D282" s="243">
        <v>8.41</v>
      </c>
      <c r="E282" s="244">
        <v>0.05</v>
      </c>
      <c r="F282" s="243">
        <f t="shared" si="157"/>
        <v>8.8305000000000007</v>
      </c>
      <c r="G282" s="245" t="s">
        <v>13</v>
      </c>
      <c r="H282" s="246">
        <v>0</v>
      </c>
      <c r="I282" s="247">
        <f t="shared" si="158"/>
        <v>0</v>
      </c>
      <c r="J282" s="254">
        <v>0</v>
      </c>
      <c r="K282" s="255">
        <f t="shared" si="159"/>
        <v>0</v>
      </c>
      <c r="L282" s="256">
        <v>55</v>
      </c>
      <c r="M282" s="257">
        <f t="shared" si="160"/>
        <v>0</v>
      </c>
      <c r="N282" s="250">
        <f t="shared" si="161"/>
        <v>0</v>
      </c>
      <c r="O282" s="251"/>
      <c r="P282" s="18"/>
    </row>
    <row r="283" spans="1:70" s="2" customFormat="1" ht="15.75">
      <c r="A283" s="64">
        <f>IF(F283&lt;&gt;"",1+MAX($A$2:A282),"")</f>
        <v>245</v>
      </c>
      <c r="B283" s="313"/>
      <c r="C283" s="253" t="s">
        <v>882</v>
      </c>
      <c r="D283" s="243">
        <v>9.4499999999999993</v>
      </c>
      <c r="E283" s="244">
        <v>0.05</v>
      </c>
      <c r="F283" s="243">
        <f t="shared" si="157"/>
        <v>9.9224999999999994</v>
      </c>
      <c r="G283" s="245" t="s">
        <v>13</v>
      </c>
      <c r="H283" s="246">
        <v>0</v>
      </c>
      <c r="I283" s="247">
        <f t="shared" si="158"/>
        <v>0</v>
      </c>
      <c r="J283" s="254">
        <v>0</v>
      </c>
      <c r="K283" s="255">
        <f t="shared" si="159"/>
        <v>0</v>
      </c>
      <c r="L283" s="256">
        <v>55</v>
      </c>
      <c r="M283" s="257">
        <f t="shared" si="160"/>
        <v>0</v>
      </c>
      <c r="N283" s="250">
        <f t="shared" si="161"/>
        <v>0</v>
      </c>
      <c r="O283" s="251"/>
      <c r="P283" s="18"/>
    </row>
    <row r="284" spans="1:70" s="2" customFormat="1" ht="15.75">
      <c r="A284" s="64">
        <f>IF(F284&lt;&gt;"",1+MAX($A$2:A283),"")</f>
        <v>246</v>
      </c>
      <c r="B284" s="313"/>
      <c r="C284" s="253" t="s">
        <v>883</v>
      </c>
      <c r="D284" s="243">
        <v>11.57</v>
      </c>
      <c r="E284" s="244">
        <v>0.05</v>
      </c>
      <c r="F284" s="243">
        <f t="shared" si="157"/>
        <v>12.1485</v>
      </c>
      <c r="G284" s="245" t="s">
        <v>13</v>
      </c>
      <c r="H284" s="246">
        <v>0</v>
      </c>
      <c r="I284" s="247">
        <f t="shared" si="158"/>
        <v>0</v>
      </c>
      <c r="J284" s="254">
        <v>0</v>
      </c>
      <c r="K284" s="255">
        <f t="shared" si="159"/>
        <v>0</v>
      </c>
      <c r="L284" s="256">
        <v>55</v>
      </c>
      <c r="M284" s="257">
        <f t="shared" si="160"/>
        <v>0</v>
      </c>
      <c r="N284" s="250">
        <f t="shared" si="161"/>
        <v>0</v>
      </c>
      <c r="O284" s="251"/>
      <c r="P284" s="18"/>
    </row>
    <row r="285" spans="1:70" s="2" customFormat="1" ht="15.75">
      <c r="A285" s="64">
        <f>IF(F285&lt;&gt;"",1+MAX($A$2:A284),"")</f>
        <v>247</v>
      </c>
      <c r="B285" s="313"/>
      <c r="C285" s="253" t="s">
        <v>884</v>
      </c>
      <c r="D285" s="243">
        <v>17.45</v>
      </c>
      <c r="E285" s="244">
        <v>0.05</v>
      </c>
      <c r="F285" s="243">
        <f t="shared" si="157"/>
        <v>18.322500000000002</v>
      </c>
      <c r="G285" s="245" t="s">
        <v>13</v>
      </c>
      <c r="H285" s="246">
        <v>0</v>
      </c>
      <c r="I285" s="247">
        <f t="shared" si="158"/>
        <v>0</v>
      </c>
      <c r="J285" s="254">
        <v>0</v>
      </c>
      <c r="K285" s="255">
        <f t="shared" si="159"/>
        <v>0</v>
      </c>
      <c r="L285" s="256">
        <v>55</v>
      </c>
      <c r="M285" s="257">
        <f t="shared" si="160"/>
        <v>0</v>
      </c>
      <c r="N285" s="250">
        <f t="shared" si="161"/>
        <v>0</v>
      </c>
      <c r="O285" s="251"/>
      <c r="P285" s="18"/>
    </row>
    <row r="286" spans="1:70" s="2" customFormat="1" ht="15.75">
      <c r="A286" s="64">
        <f>IF(F286&lt;&gt;"",1+MAX($A$2:A285),"")</f>
        <v>248</v>
      </c>
      <c r="B286" s="313"/>
      <c r="C286" s="253" t="s">
        <v>885</v>
      </c>
      <c r="D286" s="243">
        <v>1305.4000000000001</v>
      </c>
      <c r="E286" s="244">
        <v>0.05</v>
      </c>
      <c r="F286" s="243">
        <f t="shared" si="157"/>
        <v>1370.67</v>
      </c>
      <c r="G286" s="245" t="s">
        <v>13</v>
      </c>
      <c r="H286" s="246">
        <v>0</v>
      </c>
      <c r="I286" s="247">
        <f t="shared" si="158"/>
        <v>0</v>
      </c>
      <c r="J286" s="254">
        <v>0</v>
      </c>
      <c r="K286" s="255">
        <f t="shared" si="159"/>
        <v>0</v>
      </c>
      <c r="L286" s="256">
        <v>55</v>
      </c>
      <c r="M286" s="257">
        <f t="shared" si="160"/>
        <v>0</v>
      </c>
      <c r="N286" s="250">
        <f t="shared" si="161"/>
        <v>0</v>
      </c>
      <c r="O286" s="251"/>
      <c r="P286" s="18"/>
    </row>
    <row r="287" spans="1:70" s="2" customFormat="1" ht="15.75">
      <c r="A287" s="241" t="str">
        <f>IF(F287&lt;&gt;"",1+MAX($A$2:A286),"")</f>
        <v/>
      </c>
      <c r="B287" s="279"/>
      <c r="C287" s="280"/>
      <c r="D287" s="243"/>
      <c r="E287" s="244"/>
      <c r="F287" s="243"/>
      <c r="G287" s="245"/>
      <c r="H287" s="246"/>
      <c r="I287" s="247"/>
      <c r="J287" s="247"/>
      <c r="K287" s="247"/>
      <c r="L287" s="248"/>
      <c r="M287" s="249"/>
      <c r="N287" s="250"/>
      <c r="O287" s="251"/>
      <c r="P287" s="18"/>
    </row>
    <row r="288" spans="1:70" s="42" customFormat="1" ht="18.75">
      <c r="A288" s="333" t="s">
        <v>310</v>
      </c>
      <c r="B288" s="334"/>
      <c r="C288" s="334"/>
      <c r="D288" s="334"/>
      <c r="E288" s="334"/>
      <c r="F288" s="334"/>
      <c r="G288" s="334"/>
      <c r="H288" s="334"/>
      <c r="I288" s="334"/>
      <c r="J288" s="334"/>
      <c r="K288" s="334"/>
      <c r="L288" s="334"/>
      <c r="M288" s="334"/>
      <c r="N288" s="334"/>
      <c r="O288" s="334"/>
      <c r="P288" s="56">
        <f>SUM(N289:N1018)</f>
        <v>0.22</v>
      </c>
      <c r="Q288" s="2"/>
      <c r="R288" s="2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</row>
    <row r="289" spans="1:77" s="41" customFormat="1" ht="15.75">
      <c r="A289" s="64" t="str">
        <f>IF(F289&lt;&gt;"",1+MAX($A$2:A288),"")</f>
        <v/>
      </c>
      <c r="B289" s="233"/>
      <c r="C289" s="227"/>
      <c r="D289" s="188"/>
      <c r="E289" s="189"/>
      <c r="F289" s="188"/>
      <c r="G289" s="190"/>
      <c r="H289" s="191"/>
      <c r="I289" s="192"/>
      <c r="J289" s="192"/>
      <c r="K289" s="192"/>
      <c r="L289" s="228"/>
      <c r="M289" s="229"/>
      <c r="N289" s="197"/>
      <c r="O289" s="198"/>
      <c r="P289" s="18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</row>
    <row r="290" spans="1:77" s="41" customFormat="1" ht="15.75">
      <c r="A290" s="64" t="str">
        <f>IF(F290&lt;&gt;"",1+MAX($A$2:A289),"")</f>
        <v/>
      </c>
      <c r="B290" s="341" t="s">
        <v>318</v>
      </c>
      <c r="C290" s="211" t="s">
        <v>311</v>
      </c>
      <c r="D290" s="188"/>
      <c r="E290" s="189"/>
      <c r="F290" s="188"/>
      <c r="G290" s="190"/>
      <c r="H290" s="191"/>
      <c r="I290" s="192"/>
      <c r="J290" s="192"/>
      <c r="K290" s="192"/>
      <c r="L290" s="195"/>
      <c r="M290" s="229"/>
      <c r="N290" s="197"/>
      <c r="O290" s="198"/>
      <c r="P290" s="18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</row>
    <row r="291" spans="1:77" s="41" customFormat="1" ht="15.75">
      <c r="A291" s="64">
        <f>IF(F291&lt;&gt;"",1+MAX($A$2:A290),"")</f>
        <v>249</v>
      </c>
      <c r="B291" s="313"/>
      <c r="C291" s="226" t="s">
        <v>312</v>
      </c>
      <c r="D291" s="188">
        <v>1078.78</v>
      </c>
      <c r="E291" s="189">
        <v>0.05</v>
      </c>
      <c r="F291" s="188">
        <f t="shared" ref="F291:F293" si="167">(1+E291)*D291</f>
        <v>1132.7190000000001</v>
      </c>
      <c r="G291" s="190" t="s">
        <v>25</v>
      </c>
      <c r="H291" s="191">
        <v>0</v>
      </c>
      <c r="I291" s="192">
        <f t="shared" ref="I291:I293" si="168">H291*F291</f>
        <v>0</v>
      </c>
      <c r="J291" s="193">
        <v>0</v>
      </c>
      <c r="K291" s="194">
        <f t="shared" ref="K291:K293" si="169">J291*F291</f>
        <v>0</v>
      </c>
      <c r="L291" s="195">
        <v>55</v>
      </c>
      <c r="M291" s="196">
        <f t="shared" ref="M291:M293" si="170">L291*K291</f>
        <v>0</v>
      </c>
      <c r="N291" s="197">
        <f t="shared" ref="N291:N293" si="171">M291+I291</f>
        <v>0</v>
      </c>
      <c r="O291" s="198"/>
      <c r="P291" s="18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</row>
    <row r="292" spans="1:77" s="41" customFormat="1" ht="15.75">
      <c r="A292" s="64">
        <f>IF(F292&lt;&gt;"",1+MAX($A$2:A291),"")</f>
        <v>250</v>
      </c>
      <c r="B292" s="313"/>
      <c r="C292" s="226" t="s">
        <v>313</v>
      </c>
      <c r="D292" s="188">
        <v>1078.78</v>
      </c>
      <c r="E292" s="189">
        <v>0.05</v>
      </c>
      <c r="F292" s="188">
        <f t="shared" si="167"/>
        <v>1132.7190000000001</v>
      </c>
      <c r="G292" s="190" t="s">
        <v>25</v>
      </c>
      <c r="H292" s="191">
        <v>0</v>
      </c>
      <c r="I292" s="192">
        <f t="shared" si="168"/>
        <v>0</v>
      </c>
      <c r="J292" s="193">
        <v>0</v>
      </c>
      <c r="K292" s="194">
        <f t="shared" si="169"/>
        <v>0</v>
      </c>
      <c r="L292" s="195">
        <v>55</v>
      </c>
      <c r="M292" s="196">
        <f t="shared" si="170"/>
        <v>0</v>
      </c>
      <c r="N292" s="197">
        <f t="shared" si="171"/>
        <v>0</v>
      </c>
      <c r="O292" s="198"/>
      <c r="P292" s="18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</row>
    <row r="293" spans="1:77" s="41" customFormat="1" ht="15.75">
      <c r="A293" s="64">
        <f>IF(F293&lt;&gt;"",1+MAX($A$2:A292),"")</f>
        <v>251</v>
      </c>
      <c r="B293" s="313"/>
      <c r="C293" s="226" t="s">
        <v>314</v>
      </c>
      <c r="D293" s="188">
        <v>1078.78</v>
      </c>
      <c r="E293" s="189">
        <v>0.05</v>
      </c>
      <c r="F293" s="188">
        <f t="shared" si="167"/>
        <v>1132.7190000000001</v>
      </c>
      <c r="G293" s="190" t="s">
        <v>25</v>
      </c>
      <c r="H293" s="191">
        <v>0</v>
      </c>
      <c r="I293" s="192">
        <f t="shared" si="168"/>
        <v>0</v>
      </c>
      <c r="J293" s="193">
        <v>0</v>
      </c>
      <c r="K293" s="194">
        <f t="shared" si="169"/>
        <v>0</v>
      </c>
      <c r="L293" s="195">
        <v>55</v>
      </c>
      <c r="M293" s="196">
        <f t="shared" si="170"/>
        <v>0</v>
      </c>
      <c r="N293" s="197">
        <f t="shared" si="171"/>
        <v>0</v>
      </c>
      <c r="O293" s="198"/>
      <c r="P293" s="18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</row>
    <row r="294" spans="1:77" s="41" customFormat="1" ht="15.75" customHeight="1">
      <c r="A294" s="64" t="str">
        <f>IF(F294&lt;&gt;"",1+MAX($A$2:A293),"")</f>
        <v/>
      </c>
      <c r="B294" s="347" t="s">
        <v>320</v>
      </c>
      <c r="C294" s="211" t="s">
        <v>315</v>
      </c>
      <c r="D294" s="188"/>
      <c r="E294" s="189"/>
      <c r="F294" s="188"/>
      <c r="G294" s="190"/>
      <c r="H294" s="191"/>
      <c r="I294" s="192"/>
      <c r="J294" s="192"/>
      <c r="K294" s="192"/>
      <c r="L294" s="195"/>
      <c r="M294" s="229"/>
      <c r="N294" s="197"/>
      <c r="O294" s="198"/>
      <c r="P294" s="18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</row>
    <row r="295" spans="1:77" s="41" customFormat="1" ht="15.75">
      <c r="A295" s="64">
        <f>IF(F295&lt;&gt;"",1+MAX($A$2:A294),"")</f>
        <v>252</v>
      </c>
      <c r="B295" s="313"/>
      <c r="C295" s="226" t="s">
        <v>319</v>
      </c>
      <c r="D295" s="188">
        <f>D1111+D1112</f>
        <v>0</v>
      </c>
      <c r="E295" s="189">
        <v>0.05</v>
      </c>
      <c r="F295" s="188">
        <f t="shared" ref="F295:F300" si="172">(1+E295)*D295</f>
        <v>0</v>
      </c>
      <c r="G295" s="190" t="s">
        <v>25</v>
      </c>
      <c r="H295" s="191">
        <v>0</v>
      </c>
      <c r="I295" s="192">
        <f t="shared" ref="I295:I300" si="173">H295*F295</f>
        <v>0</v>
      </c>
      <c r="J295" s="193">
        <v>0</v>
      </c>
      <c r="K295" s="194">
        <f t="shared" ref="K295:K300" si="174">J295*F295</f>
        <v>0</v>
      </c>
      <c r="L295" s="195">
        <v>55</v>
      </c>
      <c r="M295" s="196">
        <f t="shared" ref="M295:M300" si="175">L295*K295</f>
        <v>0</v>
      </c>
      <c r="N295" s="197">
        <f t="shared" ref="N295:N300" si="176">M295+I295</f>
        <v>0</v>
      </c>
      <c r="O295" s="198"/>
      <c r="P295" s="18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</row>
    <row r="296" spans="1:77" s="41" customFormat="1" ht="15.75">
      <c r="A296" s="64">
        <f>IF(F296&lt;&gt;"",1+MAX($A$2:A295),"")</f>
        <v>253</v>
      </c>
      <c r="B296" s="313"/>
      <c r="C296" s="226" t="s">
        <v>316</v>
      </c>
      <c r="D296" s="188">
        <f>((78.94+76.46*8)*9.67)+(87.89*9.83)+((72.82*4)*10.17)+(74.7*10.25)+(54.36*11.33)+(88.55*11.83)</f>
        <v>12933.691999999999</v>
      </c>
      <c r="E296" s="189">
        <v>0.05</v>
      </c>
      <c r="F296" s="188">
        <f t="shared" si="172"/>
        <v>13580.3766</v>
      </c>
      <c r="G296" s="190" t="s">
        <v>25</v>
      </c>
      <c r="H296" s="191">
        <v>0</v>
      </c>
      <c r="I296" s="192">
        <f t="shared" si="173"/>
        <v>0</v>
      </c>
      <c r="J296" s="193">
        <v>0</v>
      </c>
      <c r="K296" s="194">
        <f t="shared" si="174"/>
        <v>0</v>
      </c>
      <c r="L296" s="195">
        <v>55</v>
      </c>
      <c r="M296" s="196">
        <f t="shared" si="175"/>
        <v>0</v>
      </c>
      <c r="N296" s="197">
        <f t="shared" si="176"/>
        <v>0</v>
      </c>
      <c r="O296" s="198"/>
      <c r="P296" s="18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</row>
    <row r="297" spans="1:77" s="41" customFormat="1" ht="15.75">
      <c r="A297" s="64">
        <f>IF(F297&lt;&gt;"",1+MAX($A$2:A296),"")</f>
        <v>254</v>
      </c>
      <c r="B297" s="313"/>
      <c r="C297" s="226" t="s">
        <v>317</v>
      </c>
      <c r="D297" s="188">
        <f>((83.21+56.27)*9)+((47.93+79.58*8+179.03+163.96*8+41.07+46.88*8+127.24+96.63*8+43.68+8.78*8+8.72+93.08+90.54*8+14.16+13.08*8+21.38+29.53*8)*9.67)+((29.74+191.78+50.7+70.97+15.56+102.18+27.73+18.98)*9.83)+(69.84*10)+((49.43+136.86+49.32+133.57+36.3+6.06+87.28+23.68+17.48)*10.17*4)+((58.41+80.25+28.3+124.15+88.65+20.81+8.68)*10.25)+(14.26*11.17)+((41.46+106.98+38.05+62.25+16.56+68.75+28.2+19.7)*11.33)+((12.6+36.62+31.14+91.75+103.13+3.71+19.01)*11.83)+((67.58+19.48)*8.17)</f>
        <v>88322.561899999972</v>
      </c>
      <c r="E297" s="189">
        <v>0.05</v>
      </c>
      <c r="F297" s="188">
        <f t="shared" si="172"/>
        <v>92738.689994999979</v>
      </c>
      <c r="G297" s="190" t="s">
        <v>25</v>
      </c>
      <c r="H297" s="191">
        <v>0</v>
      </c>
      <c r="I297" s="192">
        <f t="shared" si="173"/>
        <v>0</v>
      </c>
      <c r="J297" s="193">
        <v>0</v>
      </c>
      <c r="K297" s="194">
        <f t="shared" si="174"/>
        <v>0</v>
      </c>
      <c r="L297" s="195">
        <v>55</v>
      </c>
      <c r="M297" s="196">
        <f t="shared" si="175"/>
        <v>0</v>
      </c>
      <c r="N297" s="197">
        <f t="shared" si="176"/>
        <v>0</v>
      </c>
      <c r="O297" s="198"/>
      <c r="P297" s="18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</row>
    <row r="298" spans="1:77" s="41" customFormat="1" ht="15.75">
      <c r="A298" s="64">
        <f>IF(F298&lt;&gt;"",1+MAX($A$2:A297),"")</f>
        <v>255</v>
      </c>
      <c r="B298" s="313"/>
      <c r="C298" s="253" t="s">
        <v>886</v>
      </c>
      <c r="D298" s="243">
        <v>1240.4000000000001</v>
      </c>
      <c r="E298" s="244">
        <v>0.05</v>
      </c>
      <c r="F298" s="243">
        <f t="shared" si="172"/>
        <v>1302.42</v>
      </c>
      <c r="G298" s="245" t="s">
        <v>25</v>
      </c>
      <c r="H298" s="246">
        <v>0</v>
      </c>
      <c r="I298" s="247">
        <f t="shared" si="173"/>
        <v>0</v>
      </c>
      <c r="J298" s="254">
        <v>0</v>
      </c>
      <c r="K298" s="255">
        <f t="shared" si="174"/>
        <v>0</v>
      </c>
      <c r="L298" s="256">
        <v>55</v>
      </c>
      <c r="M298" s="257">
        <f t="shared" si="175"/>
        <v>0</v>
      </c>
      <c r="N298" s="250">
        <f t="shared" si="176"/>
        <v>0</v>
      </c>
      <c r="O298" s="251"/>
      <c r="P298" s="18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</row>
    <row r="299" spans="1:77" s="41" customFormat="1" ht="15.75">
      <c r="A299" s="64">
        <f>IF(F299&lt;&gt;"",1+MAX($A$2:A298),"")</f>
        <v>256</v>
      </c>
      <c r="B299" s="313"/>
      <c r="C299" s="253" t="s">
        <v>887</v>
      </c>
      <c r="D299" s="243">
        <v>1240.4000000000001</v>
      </c>
      <c r="E299" s="244">
        <v>0.05</v>
      </c>
      <c r="F299" s="243">
        <f t="shared" si="172"/>
        <v>1302.42</v>
      </c>
      <c r="G299" s="245" t="s">
        <v>25</v>
      </c>
      <c r="H299" s="246">
        <v>0</v>
      </c>
      <c r="I299" s="247">
        <f t="shared" si="173"/>
        <v>0</v>
      </c>
      <c r="J299" s="254">
        <v>0</v>
      </c>
      <c r="K299" s="255">
        <f t="shared" si="174"/>
        <v>0</v>
      </c>
      <c r="L299" s="256">
        <v>55</v>
      </c>
      <c r="M299" s="257">
        <f t="shared" si="175"/>
        <v>0</v>
      </c>
      <c r="N299" s="250">
        <f t="shared" si="176"/>
        <v>0</v>
      </c>
      <c r="O299" s="251"/>
      <c r="P299" s="18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</row>
    <row r="300" spans="1:77" s="41" customFormat="1" ht="15.75">
      <c r="A300" s="64">
        <f>IF(F300&lt;&gt;"",1+MAX($A$2:A299),"")</f>
        <v>257</v>
      </c>
      <c r="B300" s="348"/>
      <c r="C300" s="253" t="s">
        <v>888</v>
      </c>
      <c r="D300" s="243">
        <v>2480.8000000000002</v>
      </c>
      <c r="E300" s="244">
        <v>0.05</v>
      </c>
      <c r="F300" s="243">
        <f t="shared" si="172"/>
        <v>2604.84</v>
      </c>
      <c r="G300" s="245" t="s">
        <v>25</v>
      </c>
      <c r="H300" s="246">
        <v>0</v>
      </c>
      <c r="I300" s="247">
        <f t="shared" si="173"/>
        <v>0</v>
      </c>
      <c r="J300" s="254">
        <v>0</v>
      </c>
      <c r="K300" s="255">
        <f t="shared" si="174"/>
        <v>0</v>
      </c>
      <c r="L300" s="256">
        <v>55</v>
      </c>
      <c r="M300" s="257">
        <f t="shared" si="175"/>
        <v>0</v>
      </c>
      <c r="N300" s="250">
        <f t="shared" si="176"/>
        <v>0</v>
      </c>
      <c r="O300" s="251"/>
      <c r="P300" s="18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</row>
    <row r="301" spans="1:77" s="41" customFormat="1" ht="15.75">
      <c r="A301" s="64" t="str">
        <f>IF(F301&lt;&gt;"",1+MAX($A$2:A300),"")</f>
        <v/>
      </c>
      <c r="B301" s="341" t="s">
        <v>318</v>
      </c>
      <c r="C301" s="211" t="s">
        <v>321</v>
      </c>
      <c r="D301" s="188"/>
      <c r="E301" s="189"/>
      <c r="F301" s="188"/>
      <c r="G301" s="190"/>
      <c r="H301" s="191"/>
      <c r="I301" s="192"/>
      <c r="J301" s="192"/>
      <c r="K301" s="192"/>
      <c r="L301" s="195"/>
      <c r="M301" s="229"/>
      <c r="N301" s="197"/>
      <c r="O301" s="198"/>
      <c r="P301" s="18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</row>
    <row r="302" spans="1:77" s="41" customFormat="1" ht="15.75">
      <c r="A302" s="64">
        <f>IF(F302&lt;&gt;"",1+MAX($A$2:A301),"")</f>
        <v>258</v>
      </c>
      <c r="B302" s="313"/>
      <c r="C302" s="226" t="s">
        <v>322</v>
      </c>
      <c r="D302" s="188">
        <v>6</v>
      </c>
      <c r="E302" s="189">
        <v>0</v>
      </c>
      <c r="F302" s="188">
        <f t="shared" ref="F302" si="177">(1+E302)*D302</f>
        <v>6</v>
      </c>
      <c r="G302" s="190" t="s">
        <v>14</v>
      </c>
      <c r="H302" s="191">
        <v>0</v>
      </c>
      <c r="I302" s="192">
        <f t="shared" ref="I302" si="178">H302*F302</f>
        <v>0</v>
      </c>
      <c r="J302" s="193">
        <v>0</v>
      </c>
      <c r="K302" s="194">
        <f t="shared" ref="K302" si="179">J302*F302</f>
        <v>0</v>
      </c>
      <c r="L302" s="195">
        <v>55</v>
      </c>
      <c r="M302" s="196">
        <f t="shared" ref="M302" si="180">L302*K302</f>
        <v>0</v>
      </c>
      <c r="N302" s="197">
        <f t="shared" ref="N302" si="181">M302+I302</f>
        <v>0</v>
      </c>
      <c r="O302" s="198"/>
      <c r="P302" s="18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</row>
    <row r="303" spans="1:77" s="41" customFormat="1" ht="15.75">
      <c r="A303" s="64" t="str">
        <f>IF(F303&lt;&gt;"",1+MAX($A$2:A302),"")</f>
        <v/>
      </c>
      <c r="B303" s="344" t="s">
        <v>328</v>
      </c>
      <c r="C303" s="211" t="s">
        <v>323</v>
      </c>
      <c r="D303" s="188"/>
      <c r="E303" s="189"/>
      <c r="F303" s="188"/>
      <c r="G303" s="190"/>
      <c r="H303" s="191"/>
      <c r="I303" s="192"/>
      <c r="J303" s="192"/>
      <c r="K303" s="192"/>
      <c r="L303" s="195"/>
      <c r="M303" s="229"/>
      <c r="N303" s="197"/>
      <c r="O303" s="198"/>
      <c r="P303" s="18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</row>
    <row r="304" spans="1:77" s="2" customFormat="1" ht="15.75">
      <c r="A304" s="64">
        <f>IF(F304&lt;&gt;"",1+MAX($A$2:A303),"")</f>
        <v>259</v>
      </c>
      <c r="B304" s="313"/>
      <c r="C304" s="226" t="s">
        <v>324</v>
      </c>
      <c r="D304" s="188">
        <v>535.55999999999995</v>
      </c>
      <c r="E304" s="189">
        <v>0.05</v>
      </c>
      <c r="F304" s="188">
        <f t="shared" ref="F304:F307" si="182">(1+E304)*D304</f>
        <v>562.33799999999997</v>
      </c>
      <c r="G304" s="190" t="s">
        <v>25</v>
      </c>
      <c r="H304" s="191">
        <v>0</v>
      </c>
      <c r="I304" s="192">
        <f t="shared" ref="I304:I307" si="183">H304*F304</f>
        <v>0</v>
      </c>
      <c r="J304" s="193">
        <v>0</v>
      </c>
      <c r="K304" s="194">
        <f t="shared" ref="K304:K307" si="184">J304*F304</f>
        <v>0</v>
      </c>
      <c r="L304" s="195">
        <v>55</v>
      </c>
      <c r="M304" s="196">
        <f t="shared" ref="M304:M307" si="185">L304*K304</f>
        <v>0</v>
      </c>
      <c r="N304" s="197">
        <f t="shared" ref="N304:N307" si="186">M304+I304</f>
        <v>0</v>
      </c>
      <c r="O304" s="198"/>
      <c r="P304" s="18"/>
    </row>
    <row r="305" spans="1:77" s="2" customFormat="1" ht="15.75">
      <c r="A305" s="64">
        <f>IF(F305&lt;&gt;"",1+MAX($A$2:A304),"")</f>
        <v>260</v>
      </c>
      <c r="B305" s="313"/>
      <c r="C305" s="235" t="s">
        <v>325</v>
      </c>
      <c r="D305" s="236">
        <v>723.36</v>
      </c>
      <c r="E305" s="237">
        <v>0.05</v>
      </c>
      <c r="F305" s="236">
        <f t="shared" si="182"/>
        <v>759.52800000000002</v>
      </c>
      <c r="G305" s="238" t="s">
        <v>25</v>
      </c>
      <c r="H305" s="191">
        <v>0</v>
      </c>
      <c r="I305" s="192">
        <f t="shared" si="183"/>
        <v>0</v>
      </c>
      <c r="J305" s="193">
        <v>0</v>
      </c>
      <c r="K305" s="194">
        <f t="shared" si="184"/>
        <v>0</v>
      </c>
      <c r="L305" s="195">
        <v>55</v>
      </c>
      <c r="M305" s="196">
        <f t="shared" si="185"/>
        <v>0</v>
      </c>
      <c r="N305" s="197">
        <f t="shared" si="186"/>
        <v>0</v>
      </c>
      <c r="O305" s="198"/>
      <c r="P305" s="18"/>
    </row>
    <row r="306" spans="1:77" s="2" customFormat="1" ht="15.75">
      <c r="A306" s="64">
        <f>IF(F306&lt;&gt;"",1+MAX($A$2:A305),"")</f>
        <v>261</v>
      </c>
      <c r="B306" s="313"/>
      <c r="C306" s="235" t="s">
        <v>326</v>
      </c>
      <c r="D306" s="236">
        <v>824.98</v>
      </c>
      <c r="E306" s="237">
        <v>0.05</v>
      </c>
      <c r="F306" s="236">
        <f t="shared" si="182"/>
        <v>866.22900000000004</v>
      </c>
      <c r="G306" s="238" t="s">
        <v>25</v>
      </c>
      <c r="H306" s="191">
        <v>0</v>
      </c>
      <c r="I306" s="192">
        <f t="shared" si="183"/>
        <v>0</v>
      </c>
      <c r="J306" s="193">
        <v>0</v>
      </c>
      <c r="K306" s="194">
        <f t="shared" si="184"/>
        <v>0</v>
      </c>
      <c r="L306" s="195">
        <v>55</v>
      </c>
      <c r="M306" s="196">
        <f t="shared" si="185"/>
        <v>0</v>
      </c>
      <c r="N306" s="197">
        <f t="shared" si="186"/>
        <v>0</v>
      </c>
      <c r="O306" s="198"/>
      <c r="P306" s="18"/>
    </row>
    <row r="307" spans="1:77" s="2" customFormat="1" ht="15.75">
      <c r="A307" s="64">
        <f>IF(F307&lt;&gt;"",1+MAX($A$2:A306),"")</f>
        <v>262</v>
      </c>
      <c r="B307" s="314"/>
      <c r="C307" s="235" t="s">
        <v>327</v>
      </c>
      <c r="D307" s="236">
        <v>225.13</v>
      </c>
      <c r="E307" s="237">
        <v>0.05</v>
      </c>
      <c r="F307" s="236">
        <f t="shared" si="182"/>
        <v>236.38650000000001</v>
      </c>
      <c r="G307" s="238" t="s">
        <v>25</v>
      </c>
      <c r="H307" s="191">
        <v>0</v>
      </c>
      <c r="I307" s="192">
        <f t="shared" si="183"/>
        <v>0</v>
      </c>
      <c r="J307" s="193">
        <v>0</v>
      </c>
      <c r="K307" s="194">
        <f t="shared" si="184"/>
        <v>0</v>
      </c>
      <c r="L307" s="195">
        <v>55</v>
      </c>
      <c r="M307" s="196">
        <f t="shared" si="185"/>
        <v>0</v>
      </c>
      <c r="N307" s="197">
        <f t="shared" si="186"/>
        <v>0</v>
      </c>
      <c r="O307" s="198"/>
      <c r="P307" s="18"/>
    </row>
    <row r="308" spans="1:77" s="2" customFormat="1" ht="15.75">
      <c r="A308" s="64" t="str">
        <f>IF(F308&lt;&gt;"",1+MAX($A$2:A307),"")</f>
        <v/>
      </c>
      <c r="B308" s="346" t="s">
        <v>857</v>
      </c>
      <c r="C308" s="252" t="s">
        <v>889</v>
      </c>
      <c r="D308" s="243"/>
      <c r="E308" s="244"/>
      <c r="F308" s="243"/>
      <c r="G308" s="245"/>
      <c r="H308" s="246"/>
      <c r="I308" s="247"/>
      <c r="J308" s="247"/>
      <c r="K308" s="247"/>
      <c r="L308" s="256"/>
      <c r="M308" s="249"/>
      <c r="N308" s="250"/>
      <c r="O308" s="251"/>
      <c r="P308" s="18"/>
    </row>
    <row r="309" spans="1:77" s="2" customFormat="1" ht="15.75">
      <c r="A309" s="64">
        <f>IF(F309&lt;&gt;"",1+MAX($A$2:A308),"")</f>
        <v>263</v>
      </c>
      <c r="B309" s="349"/>
      <c r="C309" s="253" t="s">
        <v>890</v>
      </c>
      <c r="D309" s="243">
        <v>1240.4000000000001</v>
      </c>
      <c r="E309" s="244">
        <v>0.05</v>
      </c>
      <c r="F309" s="243">
        <f t="shared" ref="F309" si="187">(1+E309)*D309</f>
        <v>1302.42</v>
      </c>
      <c r="G309" s="245" t="s">
        <v>25</v>
      </c>
      <c r="H309" s="246">
        <v>0</v>
      </c>
      <c r="I309" s="247">
        <f t="shared" ref="I309" si="188">H309*F309</f>
        <v>0</v>
      </c>
      <c r="J309" s="254">
        <v>0</v>
      </c>
      <c r="K309" s="255">
        <f t="shared" ref="K309" si="189">J309*F309</f>
        <v>0</v>
      </c>
      <c r="L309" s="256">
        <v>55</v>
      </c>
      <c r="M309" s="257">
        <f t="shared" ref="M309" si="190">L309*K309</f>
        <v>0</v>
      </c>
      <c r="N309" s="250">
        <f t="shared" ref="N309" si="191">M309+I309</f>
        <v>0</v>
      </c>
      <c r="O309" s="251"/>
      <c r="P309" s="18"/>
    </row>
    <row r="310" spans="1:77" s="41" customFormat="1" ht="15.75">
      <c r="A310" s="33"/>
      <c r="B310" s="34"/>
      <c r="C310" s="35"/>
      <c r="D310" s="36"/>
      <c r="E310" s="37"/>
      <c r="F310" s="36"/>
      <c r="G310" s="38"/>
      <c r="H310" s="27"/>
      <c r="I310" s="39"/>
      <c r="J310" s="39"/>
      <c r="K310" s="39"/>
      <c r="L310" s="40"/>
      <c r="M310" s="28"/>
      <c r="N310" s="29"/>
      <c r="O310" s="30"/>
      <c r="P310" s="31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</row>
    <row r="311" spans="1:77" s="42" customFormat="1" ht="18.75">
      <c r="A311" s="310" t="s">
        <v>891</v>
      </c>
      <c r="B311" s="311"/>
      <c r="C311" s="311"/>
      <c r="D311" s="311"/>
      <c r="E311" s="311"/>
      <c r="F311" s="311"/>
      <c r="G311" s="311"/>
      <c r="H311" s="311"/>
      <c r="I311" s="311"/>
      <c r="J311" s="311"/>
      <c r="K311" s="311"/>
      <c r="L311" s="311"/>
      <c r="M311" s="311"/>
      <c r="N311" s="311"/>
      <c r="O311" s="311"/>
      <c r="P311" s="240">
        <f>SUM(N312:N380)</f>
        <v>0</v>
      </c>
      <c r="Q311" s="2"/>
      <c r="R311" s="2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</row>
    <row r="312" spans="1:77" s="41" customFormat="1" ht="15.75">
      <c r="A312" s="241" t="str">
        <f>IF(F312&lt;&gt;"",1+MAX($A$2:A311),"")</f>
        <v/>
      </c>
      <c r="B312" s="279"/>
      <c r="C312" s="242"/>
      <c r="D312" s="243"/>
      <c r="E312" s="244"/>
      <c r="F312" s="243"/>
      <c r="G312" s="245"/>
      <c r="H312" s="246"/>
      <c r="I312" s="247"/>
      <c r="J312" s="247"/>
      <c r="K312" s="247"/>
      <c r="L312" s="248"/>
      <c r="M312" s="249"/>
      <c r="N312" s="250"/>
      <c r="O312" s="251"/>
      <c r="P312" s="18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</row>
    <row r="313" spans="1:77" s="41" customFormat="1" ht="15.75">
      <c r="A313" s="241" t="str">
        <f>IF(F313&lt;&gt;"",1+MAX($A$2:A312),"")</f>
        <v/>
      </c>
      <c r="B313" s="346" t="s">
        <v>857</v>
      </c>
      <c r="C313" s="252" t="s">
        <v>892</v>
      </c>
      <c r="D313" s="243"/>
      <c r="E313" s="244"/>
      <c r="F313" s="243"/>
      <c r="G313" s="245"/>
      <c r="H313" s="246"/>
      <c r="I313" s="247"/>
      <c r="J313" s="247"/>
      <c r="K313" s="247"/>
      <c r="L313" s="248"/>
      <c r="M313" s="249"/>
      <c r="N313" s="250"/>
      <c r="O313" s="251"/>
      <c r="P313" s="18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</row>
    <row r="314" spans="1:77" s="41" customFormat="1" ht="15.75">
      <c r="A314" s="64">
        <f>IF(F314&lt;&gt;"",1+MAX($A$2:A313),"")</f>
        <v>264</v>
      </c>
      <c r="B314" s="313"/>
      <c r="C314" s="253" t="s">
        <v>893</v>
      </c>
      <c r="D314" s="243">
        <v>3</v>
      </c>
      <c r="E314" s="281">
        <v>0</v>
      </c>
      <c r="F314" s="282">
        <f t="shared" ref="F314:F327" si="192">(1+E314)*D314</f>
        <v>3</v>
      </c>
      <c r="G314" s="283" t="s">
        <v>14</v>
      </c>
      <c r="H314" s="246">
        <v>0</v>
      </c>
      <c r="I314" s="247">
        <f t="shared" ref="I314:I327" si="193">H314*F314</f>
        <v>0</v>
      </c>
      <c r="J314" s="254">
        <v>0</v>
      </c>
      <c r="K314" s="255">
        <f t="shared" ref="K314:K327" si="194">J314*F314</f>
        <v>0</v>
      </c>
      <c r="L314" s="256">
        <v>55</v>
      </c>
      <c r="M314" s="257">
        <f t="shared" ref="M314:M327" si="195">L314*K314</f>
        <v>0</v>
      </c>
      <c r="N314" s="250">
        <f t="shared" ref="N314:N327" si="196">M314+I314</f>
        <v>0</v>
      </c>
      <c r="O314" s="251"/>
      <c r="P314" s="18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</row>
    <row r="315" spans="1:77" s="41" customFormat="1" ht="15.75">
      <c r="A315" s="64">
        <f>IF(F315&lt;&gt;"",1+MAX($A$2:A314),"")</f>
        <v>265</v>
      </c>
      <c r="B315" s="313"/>
      <c r="C315" s="253" t="s">
        <v>894</v>
      </c>
      <c r="D315" s="243">
        <v>184</v>
      </c>
      <c r="E315" s="281">
        <v>0</v>
      </c>
      <c r="F315" s="282">
        <f t="shared" si="192"/>
        <v>184</v>
      </c>
      <c r="G315" s="283" t="s">
        <v>14</v>
      </c>
      <c r="H315" s="246">
        <v>0</v>
      </c>
      <c r="I315" s="247">
        <f t="shared" si="193"/>
        <v>0</v>
      </c>
      <c r="J315" s="254">
        <v>0</v>
      </c>
      <c r="K315" s="255">
        <f t="shared" si="194"/>
        <v>0</v>
      </c>
      <c r="L315" s="256">
        <v>55</v>
      </c>
      <c r="M315" s="257">
        <f t="shared" si="195"/>
        <v>0</v>
      </c>
      <c r="N315" s="250">
        <f t="shared" si="196"/>
        <v>0</v>
      </c>
      <c r="O315" s="251"/>
      <c r="P315" s="18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</row>
    <row r="316" spans="1:77" s="41" customFormat="1" ht="15.75">
      <c r="A316" s="64">
        <f>IF(F316&lt;&gt;"",1+MAX($A$2:A315),"")</f>
        <v>266</v>
      </c>
      <c r="B316" s="313"/>
      <c r="C316" s="253" t="s">
        <v>895</v>
      </c>
      <c r="D316" s="243">
        <v>57</v>
      </c>
      <c r="E316" s="281">
        <v>0</v>
      </c>
      <c r="F316" s="282">
        <f t="shared" si="192"/>
        <v>57</v>
      </c>
      <c r="G316" s="283" t="s">
        <v>14</v>
      </c>
      <c r="H316" s="246">
        <v>0</v>
      </c>
      <c r="I316" s="247">
        <f t="shared" si="193"/>
        <v>0</v>
      </c>
      <c r="J316" s="254">
        <v>0</v>
      </c>
      <c r="K316" s="255">
        <f t="shared" si="194"/>
        <v>0</v>
      </c>
      <c r="L316" s="256">
        <v>55</v>
      </c>
      <c r="M316" s="257">
        <f t="shared" si="195"/>
        <v>0</v>
      </c>
      <c r="N316" s="250">
        <f t="shared" si="196"/>
        <v>0</v>
      </c>
      <c r="O316" s="251"/>
      <c r="P316" s="18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</row>
    <row r="317" spans="1:77" s="41" customFormat="1" ht="15.75">
      <c r="A317" s="64">
        <f>IF(F317&lt;&gt;"",1+MAX($A$2:A316),"")</f>
        <v>267</v>
      </c>
      <c r="B317" s="313"/>
      <c r="C317" s="253" t="s">
        <v>896</v>
      </c>
      <c r="D317" s="243">
        <v>15</v>
      </c>
      <c r="E317" s="281">
        <v>0</v>
      </c>
      <c r="F317" s="282">
        <f t="shared" si="192"/>
        <v>15</v>
      </c>
      <c r="G317" s="283" t="s">
        <v>14</v>
      </c>
      <c r="H317" s="246">
        <v>0</v>
      </c>
      <c r="I317" s="247">
        <f t="shared" si="193"/>
        <v>0</v>
      </c>
      <c r="J317" s="254">
        <v>0</v>
      </c>
      <c r="K317" s="255">
        <f t="shared" si="194"/>
        <v>0</v>
      </c>
      <c r="L317" s="256">
        <v>55</v>
      </c>
      <c r="M317" s="257">
        <f t="shared" si="195"/>
        <v>0</v>
      </c>
      <c r="N317" s="250">
        <f t="shared" si="196"/>
        <v>0</v>
      </c>
      <c r="O317" s="251"/>
      <c r="P317" s="18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</row>
    <row r="318" spans="1:77" s="41" customFormat="1" ht="15.75">
      <c r="A318" s="64">
        <f>IF(F318&lt;&gt;"",1+MAX($A$2:A317),"")</f>
        <v>268</v>
      </c>
      <c r="B318" s="313"/>
      <c r="C318" s="253" t="s">
        <v>897</v>
      </c>
      <c r="D318" s="243">
        <v>2</v>
      </c>
      <c r="E318" s="281">
        <v>0</v>
      </c>
      <c r="F318" s="282">
        <f t="shared" si="192"/>
        <v>2</v>
      </c>
      <c r="G318" s="283" t="s">
        <v>14</v>
      </c>
      <c r="H318" s="246">
        <v>0</v>
      </c>
      <c r="I318" s="247">
        <f t="shared" si="193"/>
        <v>0</v>
      </c>
      <c r="J318" s="254">
        <v>0</v>
      </c>
      <c r="K318" s="255">
        <f t="shared" si="194"/>
        <v>0</v>
      </c>
      <c r="L318" s="256">
        <v>55</v>
      </c>
      <c r="M318" s="257">
        <f t="shared" si="195"/>
        <v>0</v>
      </c>
      <c r="N318" s="250">
        <f t="shared" si="196"/>
        <v>0</v>
      </c>
      <c r="O318" s="251"/>
      <c r="P318" s="18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</row>
    <row r="319" spans="1:77" s="41" customFormat="1" ht="15.75">
      <c r="A319" s="64">
        <f>IF(F319&lt;&gt;"",1+MAX($A$2:A318),"")</f>
        <v>269</v>
      </c>
      <c r="B319" s="313"/>
      <c r="C319" s="253" t="s">
        <v>898</v>
      </c>
      <c r="D319" s="243">
        <v>11</v>
      </c>
      <c r="E319" s="281">
        <v>0</v>
      </c>
      <c r="F319" s="282">
        <f t="shared" si="192"/>
        <v>11</v>
      </c>
      <c r="G319" s="283" t="s">
        <v>14</v>
      </c>
      <c r="H319" s="246">
        <v>0</v>
      </c>
      <c r="I319" s="247">
        <f t="shared" si="193"/>
        <v>0</v>
      </c>
      <c r="J319" s="254">
        <v>0</v>
      </c>
      <c r="K319" s="255">
        <f t="shared" si="194"/>
        <v>0</v>
      </c>
      <c r="L319" s="256">
        <v>55</v>
      </c>
      <c r="M319" s="257">
        <f t="shared" si="195"/>
        <v>0</v>
      </c>
      <c r="N319" s="250">
        <f t="shared" si="196"/>
        <v>0</v>
      </c>
      <c r="O319" s="251"/>
      <c r="P319" s="18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</row>
    <row r="320" spans="1:77" s="41" customFormat="1" ht="15.75">
      <c r="A320" s="64">
        <f>IF(F320&lt;&gt;"",1+MAX($A$2:A319),"")</f>
        <v>270</v>
      </c>
      <c r="B320" s="313"/>
      <c r="C320" s="253" t="s">
        <v>899</v>
      </c>
      <c r="D320" s="243">
        <v>13</v>
      </c>
      <c r="E320" s="281">
        <v>0</v>
      </c>
      <c r="F320" s="282">
        <f t="shared" si="192"/>
        <v>13</v>
      </c>
      <c r="G320" s="283" t="s">
        <v>14</v>
      </c>
      <c r="H320" s="246">
        <v>0</v>
      </c>
      <c r="I320" s="247">
        <f t="shared" si="193"/>
        <v>0</v>
      </c>
      <c r="J320" s="254">
        <v>0</v>
      </c>
      <c r="K320" s="255">
        <f t="shared" si="194"/>
        <v>0</v>
      </c>
      <c r="L320" s="256">
        <v>55</v>
      </c>
      <c r="M320" s="257">
        <f t="shared" si="195"/>
        <v>0</v>
      </c>
      <c r="N320" s="250">
        <f t="shared" si="196"/>
        <v>0</v>
      </c>
      <c r="O320" s="251"/>
      <c r="P320" s="18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</row>
    <row r="321" spans="1:77" s="41" customFormat="1" ht="15.75">
      <c r="A321" s="64">
        <f>IF(F321&lt;&gt;"",1+MAX($A$2:A320),"")</f>
        <v>271</v>
      </c>
      <c r="B321" s="313"/>
      <c r="C321" s="253" t="s">
        <v>900</v>
      </c>
      <c r="D321" s="243">
        <v>8</v>
      </c>
      <c r="E321" s="281">
        <v>0</v>
      </c>
      <c r="F321" s="282">
        <f t="shared" si="192"/>
        <v>8</v>
      </c>
      <c r="G321" s="283" t="s">
        <v>14</v>
      </c>
      <c r="H321" s="246">
        <v>0</v>
      </c>
      <c r="I321" s="247">
        <f t="shared" si="193"/>
        <v>0</v>
      </c>
      <c r="J321" s="254">
        <v>0</v>
      </c>
      <c r="K321" s="255">
        <f t="shared" si="194"/>
        <v>0</v>
      </c>
      <c r="L321" s="256">
        <v>55</v>
      </c>
      <c r="M321" s="257">
        <f t="shared" si="195"/>
        <v>0</v>
      </c>
      <c r="N321" s="250">
        <f t="shared" si="196"/>
        <v>0</v>
      </c>
      <c r="O321" s="251"/>
      <c r="P321" s="18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</row>
    <row r="322" spans="1:77" s="41" customFormat="1" ht="15.75">
      <c r="A322" s="64">
        <f>IF(F322&lt;&gt;"",1+MAX($A$2:A321),"")</f>
        <v>272</v>
      </c>
      <c r="B322" s="313"/>
      <c r="C322" s="253" t="s">
        <v>901</v>
      </c>
      <c r="D322" s="243">
        <v>11</v>
      </c>
      <c r="E322" s="281">
        <v>0</v>
      </c>
      <c r="F322" s="282">
        <f t="shared" si="192"/>
        <v>11</v>
      </c>
      <c r="G322" s="283" t="s">
        <v>14</v>
      </c>
      <c r="H322" s="246">
        <v>0</v>
      </c>
      <c r="I322" s="247">
        <f t="shared" si="193"/>
        <v>0</v>
      </c>
      <c r="J322" s="254">
        <v>0</v>
      </c>
      <c r="K322" s="255">
        <f t="shared" si="194"/>
        <v>0</v>
      </c>
      <c r="L322" s="256">
        <v>55</v>
      </c>
      <c r="M322" s="257">
        <f t="shared" si="195"/>
        <v>0</v>
      </c>
      <c r="N322" s="250">
        <f t="shared" si="196"/>
        <v>0</v>
      </c>
      <c r="O322" s="251"/>
      <c r="P322" s="18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</row>
    <row r="323" spans="1:77" s="41" customFormat="1" ht="15.75">
      <c r="A323" s="64">
        <f>IF(F323&lt;&gt;"",1+MAX($A$2:A322),"")</f>
        <v>273</v>
      </c>
      <c r="B323" s="313"/>
      <c r="C323" s="253" t="s">
        <v>902</v>
      </c>
      <c r="D323" s="243">
        <v>23</v>
      </c>
      <c r="E323" s="281">
        <v>0</v>
      </c>
      <c r="F323" s="282">
        <f t="shared" si="192"/>
        <v>23</v>
      </c>
      <c r="G323" s="283" t="s">
        <v>14</v>
      </c>
      <c r="H323" s="246">
        <v>0</v>
      </c>
      <c r="I323" s="247">
        <f t="shared" si="193"/>
        <v>0</v>
      </c>
      <c r="J323" s="254">
        <v>0</v>
      </c>
      <c r="K323" s="255">
        <f t="shared" si="194"/>
        <v>0</v>
      </c>
      <c r="L323" s="256">
        <v>55</v>
      </c>
      <c r="M323" s="257">
        <f t="shared" si="195"/>
        <v>0</v>
      </c>
      <c r="N323" s="250">
        <f t="shared" si="196"/>
        <v>0</v>
      </c>
      <c r="O323" s="251"/>
      <c r="P323" s="18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</row>
    <row r="324" spans="1:77" s="41" customFormat="1" ht="15.75">
      <c r="A324" s="64">
        <f>IF(F324&lt;&gt;"",1+MAX($A$2:A323),"")</f>
        <v>274</v>
      </c>
      <c r="B324" s="313"/>
      <c r="C324" s="253" t="s">
        <v>903</v>
      </c>
      <c r="D324" s="243">
        <v>4</v>
      </c>
      <c r="E324" s="281">
        <v>0</v>
      </c>
      <c r="F324" s="282">
        <f t="shared" si="192"/>
        <v>4</v>
      </c>
      <c r="G324" s="283" t="s">
        <v>14</v>
      </c>
      <c r="H324" s="246">
        <v>0</v>
      </c>
      <c r="I324" s="247">
        <f t="shared" si="193"/>
        <v>0</v>
      </c>
      <c r="J324" s="254">
        <v>0</v>
      </c>
      <c r="K324" s="255">
        <f t="shared" si="194"/>
        <v>0</v>
      </c>
      <c r="L324" s="256">
        <v>55</v>
      </c>
      <c r="M324" s="257">
        <f t="shared" si="195"/>
        <v>0</v>
      </c>
      <c r="N324" s="250">
        <f t="shared" si="196"/>
        <v>0</v>
      </c>
      <c r="O324" s="251"/>
      <c r="P324" s="18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</row>
    <row r="325" spans="1:77" s="41" customFormat="1" ht="15.75">
      <c r="A325" s="64">
        <f>IF(F325&lt;&gt;"",1+MAX($A$2:A324),"")</f>
        <v>275</v>
      </c>
      <c r="B325" s="313"/>
      <c r="C325" s="253" t="s">
        <v>904</v>
      </c>
      <c r="D325" s="243">
        <v>9</v>
      </c>
      <c r="E325" s="281">
        <v>0</v>
      </c>
      <c r="F325" s="282">
        <f t="shared" si="192"/>
        <v>9</v>
      </c>
      <c r="G325" s="283" t="s">
        <v>14</v>
      </c>
      <c r="H325" s="246">
        <v>0</v>
      </c>
      <c r="I325" s="247">
        <f t="shared" si="193"/>
        <v>0</v>
      </c>
      <c r="J325" s="254">
        <v>0</v>
      </c>
      <c r="K325" s="255">
        <f t="shared" si="194"/>
        <v>0</v>
      </c>
      <c r="L325" s="256">
        <v>55</v>
      </c>
      <c r="M325" s="257">
        <f t="shared" si="195"/>
        <v>0</v>
      </c>
      <c r="N325" s="250">
        <f t="shared" si="196"/>
        <v>0</v>
      </c>
      <c r="O325" s="251"/>
      <c r="P325" s="18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</row>
    <row r="326" spans="1:77" s="41" customFormat="1" ht="15.75">
      <c r="A326" s="64">
        <f>IF(F326&lt;&gt;"",1+MAX($A$2:A325),"")</f>
        <v>276</v>
      </c>
      <c r="B326" s="313"/>
      <c r="C326" s="253" t="s">
        <v>905</v>
      </c>
      <c r="D326" s="243">
        <v>2</v>
      </c>
      <c r="E326" s="281">
        <v>0</v>
      </c>
      <c r="F326" s="282">
        <f t="shared" si="192"/>
        <v>2</v>
      </c>
      <c r="G326" s="283" t="s">
        <v>14</v>
      </c>
      <c r="H326" s="246">
        <v>0</v>
      </c>
      <c r="I326" s="247">
        <f t="shared" si="193"/>
        <v>0</v>
      </c>
      <c r="J326" s="254">
        <v>0</v>
      </c>
      <c r="K326" s="255">
        <f t="shared" si="194"/>
        <v>0</v>
      </c>
      <c r="L326" s="256">
        <v>55</v>
      </c>
      <c r="M326" s="257">
        <f t="shared" si="195"/>
        <v>0</v>
      </c>
      <c r="N326" s="250">
        <f t="shared" si="196"/>
        <v>0</v>
      </c>
      <c r="O326" s="251"/>
      <c r="P326" s="18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</row>
    <row r="327" spans="1:77" s="41" customFormat="1" ht="15.75">
      <c r="A327" s="64">
        <f>IF(F327&lt;&gt;"",1+MAX($A$2:A326),"")</f>
        <v>277</v>
      </c>
      <c r="B327" s="313"/>
      <c r="C327" s="253" t="s">
        <v>906</v>
      </c>
      <c r="D327" s="243">
        <v>1</v>
      </c>
      <c r="E327" s="281">
        <v>0</v>
      </c>
      <c r="F327" s="282">
        <f t="shared" si="192"/>
        <v>1</v>
      </c>
      <c r="G327" s="283" t="s">
        <v>14</v>
      </c>
      <c r="H327" s="246">
        <v>0</v>
      </c>
      <c r="I327" s="247">
        <f t="shared" si="193"/>
        <v>0</v>
      </c>
      <c r="J327" s="254">
        <v>0</v>
      </c>
      <c r="K327" s="255">
        <f t="shared" si="194"/>
        <v>0</v>
      </c>
      <c r="L327" s="256">
        <v>55</v>
      </c>
      <c r="M327" s="257">
        <f t="shared" si="195"/>
        <v>0</v>
      </c>
      <c r="N327" s="250">
        <f t="shared" si="196"/>
        <v>0</v>
      </c>
      <c r="O327" s="251"/>
      <c r="P327" s="18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</row>
    <row r="328" spans="1:77" s="41" customFormat="1" ht="15.75">
      <c r="A328" s="64" t="str">
        <f>IF(F328&lt;&gt;"",1+MAX($A$2:A327),"")</f>
        <v/>
      </c>
      <c r="B328" s="313"/>
      <c r="C328" s="252" t="s">
        <v>907</v>
      </c>
      <c r="D328" s="243"/>
      <c r="E328" s="244"/>
      <c r="F328" s="243"/>
      <c r="G328" s="245"/>
      <c r="H328" s="246"/>
      <c r="I328" s="247"/>
      <c r="J328" s="247"/>
      <c r="K328" s="247"/>
      <c r="L328" s="256"/>
      <c r="M328" s="249"/>
      <c r="N328" s="250"/>
      <c r="O328" s="251"/>
      <c r="P328" s="18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</row>
    <row r="329" spans="1:77" s="41" customFormat="1" ht="15.75">
      <c r="A329" s="64">
        <f>IF(F329&lt;&gt;"",1+MAX($A$2:A328),"")</f>
        <v>278</v>
      </c>
      <c r="B329" s="313"/>
      <c r="C329" s="253" t="s">
        <v>908</v>
      </c>
      <c r="D329" s="282">
        <v>1</v>
      </c>
      <c r="E329" s="281">
        <v>0</v>
      </c>
      <c r="F329" s="282">
        <f t="shared" ref="F329:F375" si="197">(1+E329)*D329</f>
        <v>1</v>
      </c>
      <c r="G329" s="283" t="s">
        <v>14</v>
      </c>
      <c r="H329" s="246">
        <v>0</v>
      </c>
      <c r="I329" s="247">
        <f t="shared" ref="I329:I375" si="198">H329*F329</f>
        <v>0</v>
      </c>
      <c r="J329" s="254">
        <v>0</v>
      </c>
      <c r="K329" s="255">
        <f t="shared" ref="K329:K375" si="199">J329*F329</f>
        <v>0</v>
      </c>
      <c r="L329" s="256">
        <v>55</v>
      </c>
      <c r="M329" s="257">
        <f t="shared" ref="M329:M375" si="200">L329*K329</f>
        <v>0</v>
      </c>
      <c r="N329" s="250">
        <f t="shared" ref="N329:N375" si="201">M329+I329</f>
        <v>0</v>
      </c>
      <c r="O329" s="251"/>
      <c r="P329" s="18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</row>
    <row r="330" spans="1:77" s="41" customFormat="1" ht="15.75">
      <c r="A330" s="64">
        <f>IF(F330&lt;&gt;"",1+MAX($A$2:A329),"")</f>
        <v>279</v>
      </c>
      <c r="B330" s="313"/>
      <c r="C330" s="253" t="s">
        <v>909</v>
      </c>
      <c r="D330" s="282">
        <v>2</v>
      </c>
      <c r="E330" s="281">
        <v>0</v>
      </c>
      <c r="F330" s="282">
        <f t="shared" si="197"/>
        <v>2</v>
      </c>
      <c r="G330" s="283" t="s">
        <v>14</v>
      </c>
      <c r="H330" s="246">
        <v>0</v>
      </c>
      <c r="I330" s="247">
        <f t="shared" si="198"/>
        <v>0</v>
      </c>
      <c r="J330" s="254">
        <v>0</v>
      </c>
      <c r="K330" s="255">
        <f t="shared" si="199"/>
        <v>0</v>
      </c>
      <c r="L330" s="256">
        <v>55</v>
      </c>
      <c r="M330" s="257">
        <f t="shared" si="200"/>
        <v>0</v>
      </c>
      <c r="N330" s="250">
        <f t="shared" si="201"/>
        <v>0</v>
      </c>
      <c r="O330" s="251"/>
      <c r="P330" s="18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</row>
    <row r="331" spans="1:77" s="41" customFormat="1" ht="15.75">
      <c r="A331" s="64">
        <f>IF(F331&lt;&gt;"",1+MAX($A$2:A330),"")</f>
        <v>280</v>
      </c>
      <c r="B331" s="313"/>
      <c r="C331" s="253" t="s">
        <v>910</v>
      </c>
      <c r="D331" s="282">
        <v>2</v>
      </c>
      <c r="E331" s="281">
        <v>0</v>
      </c>
      <c r="F331" s="282">
        <f t="shared" si="197"/>
        <v>2</v>
      </c>
      <c r="G331" s="283" t="s">
        <v>14</v>
      </c>
      <c r="H331" s="246">
        <v>0</v>
      </c>
      <c r="I331" s="247">
        <f t="shared" si="198"/>
        <v>0</v>
      </c>
      <c r="J331" s="254">
        <v>0</v>
      </c>
      <c r="K331" s="255">
        <f t="shared" si="199"/>
        <v>0</v>
      </c>
      <c r="L331" s="256">
        <v>55</v>
      </c>
      <c r="M331" s="257">
        <f t="shared" si="200"/>
        <v>0</v>
      </c>
      <c r="N331" s="250">
        <f t="shared" si="201"/>
        <v>0</v>
      </c>
      <c r="O331" s="251"/>
      <c r="P331" s="18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</row>
    <row r="332" spans="1:77" s="41" customFormat="1" ht="15.75">
      <c r="A332" s="64">
        <f>IF(F332&lt;&gt;"",1+MAX($A$2:A331),"")</f>
        <v>281</v>
      </c>
      <c r="B332" s="313"/>
      <c r="C332" s="253" t="s">
        <v>911</v>
      </c>
      <c r="D332" s="282">
        <v>2</v>
      </c>
      <c r="E332" s="281">
        <v>0</v>
      </c>
      <c r="F332" s="282">
        <f t="shared" si="197"/>
        <v>2</v>
      </c>
      <c r="G332" s="283" t="s">
        <v>14</v>
      </c>
      <c r="H332" s="246">
        <v>0</v>
      </c>
      <c r="I332" s="247">
        <f t="shared" si="198"/>
        <v>0</v>
      </c>
      <c r="J332" s="254">
        <v>0</v>
      </c>
      <c r="K332" s="255">
        <f t="shared" si="199"/>
        <v>0</v>
      </c>
      <c r="L332" s="256">
        <v>55</v>
      </c>
      <c r="M332" s="257">
        <f t="shared" si="200"/>
        <v>0</v>
      </c>
      <c r="N332" s="250">
        <f t="shared" si="201"/>
        <v>0</v>
      </c>
      <c r="O332" s="251"/>
      <c r="P332" s="18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</row>
    <row r="333" spans="1:77" s="41" customFormat="1" ht="15.75">
      <c r="A333" s="64">
        <f>IF(F333&lt;&gt;"",1+MAX($A$2:A332),"")</f>
        <v>282</v>
      </c>
      <c r="B333" s="313"/>
      <c r="C333" s="253" t="s">
        <v>912</v>
      </c>
      <c r="D333" s="282">
        <v>2</v>
      </c>
      <c r="E333" s="281">
        <v>0</v>
      </c>
      <c r="F333" s="282">
        <f t="shared" si="197"/>
        <v>2</v>
      </c>
      <c r="G333" s="283" t="s">
        <v>14</v>
      </c>
      <c r="H333" s="246">
        <v>0</v>
      </c>
      <c r="I333" s="247">
        <f t="shared" si="198"/>
        <v>0</v>
      </c>
      <c r="J333" s="254">
        <v>0</v>
      </c>
      <c r="K333" s="255">
        <f t="shared" si="199"/>
        <v>0</v>
      </c>
      <c r="L333" s="256">
        <v>55</v>
      </c>
      <c r="M333" s="257">
        <f t="shared" si="200"/>
        <v>0</v>
      </c>
      <c r="N333" s="250">
        <f t="shared" si="201"/>
        <v>0</v>
      </c>
      <c r="O333" s="251"/>
      <c r="P333" s="18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</row>
    <row r="334" spans="1:77" s="41" customFormat="1" ht="15.75">
      <c r="A334" s="64">
        <f>IF(F334&lt;&gt;"",1+MAX($A$2:A333),"")</f>
        <v>283</v>
      </c>
      <c r="B334" s="313"/>
      <c r="C334" s="253" t="s">
        <v>913</v>
      </c>
      <c r="D334" s="282">
        <v>2</v>
      </c>
      <c r="E334" s="281">
        <v>0</v>
      </c>
      <c r="F334" s="282">
        <f t="shared" si="197"/>
        <v>2</v>
      </c>
      <c r="G334" s="283" t="s">
        <v>14</v>
      </c>
      <c r="H334" s="246">
        <v>0</v>
      </c>
      <c r="I334" s="247">
        <f t="shared" si="198"/>
        <v>0</v>
      </c>
      <c r="J334" s="254">
        <v>0</v>
      </c>
      <c r="K334" s="255">
        <f t="shared" si="199"/>
        <v>0</v>
      </c>
      <c r="L334" s="256">
        <v>55</v>
      </c>
      <c r="M334" s="257">
        <f t="shared" si="200"/>
        <v>0</v>
      </c>
      <c r="N334" s="250">
        <f t="shared" si="201"/>
        <v>0</v>
      </c>
      <c r="O334" s="251"/>
      <c r="P334" s="18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</row>
    <row r="335" spans="1:77" s="41" customFormat="1" ht="15.75">
      <c r="A335" s="64">
        <f>IF(F335&lt;&gt;"",1+MAX($A$2:A334),"")</f>
        <v>284</v>
      </c>
      <c r="B335" s="313"/>
      <c r="C335" s="253" t="s">
        <v>914</v>
      </c>
      <c r="D335" s="282">
        <v>2</v>
      </c>
      <c r="E335" s="281">
        <v>0</v>
      </c>
      <c r="F335" s="282">
        <f t="shared" si="197"/>
        <v>2</v>
      </c>
      <c r="G335" s="283" t="s">
        <v>14</v>
      </c>
      <c r="H335" s="246">
        <v>0</v>
      </c>
      <c r="I335" s="247">
        <f t="shared" si="198"/>
        <v>0</v>
      </c>
      <c r="J335" s="254">
        <v>0</v>
      </c>
      <c r="K335" s="255">
        <f t="shared" si="199"/>
        <v>0</v>
      </c>
      <c r="L335" s="256">
        <v>55</v>
      </c>
      <c r="M335" s="257">
        <f t="shared" si="200"/>
        <v>0</v>
      </c>
      <c r="N335" s="250">
        <f t="shared" si="201"/>
        <v>0</v>
      </c>
      <c r="O335" s="251"/>
      <c r="P335" s="18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</row>
    <row r="336" spans="1:77" s="41" customFormat="1" ht="15.75">
      <c r="A336" s="64">
        <f>IF(F336&lt;&gt;"",1+MAX($A$2:A335),"")</f>
        <v>285</v>
      </c>
      <c r="B336" s="313"/>
      <c r="C336" s="253" t="s">
        <v>915</v>
      </c>
      <c r="D336" s="282">
        <v>2</v>
      </c>
      <c r="E336" s="281">
        <v>0</v>
      </c>
      <c r="F336" s="282">
        <f t="shared" si="197"/>
        <v>2</v>
      </c>
      <c r="G336" s="283" t="s">
        <v>14</v>
      </c>
      <c r="H336" s="246">
        <v>0</v>
      </c>
      <c r="I336" s="247">
        <f t="shared" si="198"/>
        <v>0</v>
      </c>
      <c r="J336" s="254">
        <v>0</v>
      </c>
      <c r="K336" s="255">
        <f t="shared" si="199"/>
        <v>0</v>
      </c>
      <c r="L336" s="256">
        <v>55</v>
      </c>
      <c r="M336" s="257">
        <f t="shared" si="200"/>
        <v>0</v>
      </c>
      <c r="N336" s="250">
        <f t="shared" si="201"/>
        <v>0</v>
      </c>
      <c r="O336" s="251"/>
      <c r="P336" s="18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</row>
    <row r="337" spans="1:77" s="41" customFormat="1" ht="15.75">
      <c r="A337" s="64">
        <f>IF(F337&lt;&gt;"",1+MAX($A$2:A336),"")</f>
        <v>286</v>
      </c>
      <c r="B337" s="313"/>
      <c r="C337" s="253" t="s">
        <v>916</v>
      </c>
      <c r="D337" s="282">
        <v>10</v>
      </c>
      <c r="E337" s="281">
        <v>0</v>
      </c>
      <c r="F337" s="282">
        <f t="shared" si="197"/>
        <v>10</v>
      </c>
      <c r="G337" s="283" t="s">
        <v>14</v>
      </c>
      <c r="H337" s="246">
        <v>0</v>
      </c>
      <c r="I337" s="247">
        <f t="shared" si="198"/>
        <v>0</v>
      </c>
      <c r="J337" s="254">
        <v>0</v>
      </c>
      <c r="K337" s="255">
        <f t="shared" si="199"/>
        <v>0</v>
      </c>
      <c r="L337" s="256">
        <v>55</v>
      </c>
      <c r="M337" s="257">
        <f t="shared" si="200"/>
        <v>0</v>
      </c>
      <c r="N337" s="250">
        <f t="shared" si="201"/>
        <v>0</v>
      </c>
      <c r="O337" s="251"/>
      <c r="P337" s="18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</row>
    <row r="338" spans="1:77" s="41" customFormat="1" ht="15.75">
      <c r="A338" s="64">
        <f>IF(F338&lt;&gt;"",1+MAX($A$2:A337),"")</f>
        <v>287</v>
      </c>
      <c r="B338" s="313"/>
      <c r="C338" s="253" t="s">
        <v>917</v>
      </c>
      <c r="D338" s="282">
        <v>10</v>
      </c>
      <c r="E338" s="281">
        <v>0</v>
      </c>
      <c r="F338" s="282">
        <f t="shared" si="197"/>
        <v>10</v>
      </c>
      <c r="G338" s="283" t="s">
        <v>14</v>
      </c>
      <c r="H338" s="246">
        <v>0</v>
      </c>
      <c r="I338" s="247">
        <f t="shared" si="198"/>
        <v>0</v>
      </c>
      <c r="J338" s="254">
        <v>0</v>
      </c>
      <c r="K338" s="255">
        <f t="shared" si="199"/>
        <v>0</v>
      </c>
      <c r="L338" s="256">
        <v>55</v>
      </c>
      <c r="M338" s="257">
        <f t="shared" si="200"/>
        <v>0</v>
      </c>
      <c r="N338" s="250">
        <f t="shared" si="201"/>
        <v>0</v>
      </c>
      <c r="O338" s="251"/>
      <c r="P338" s="18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</row>
    <row r="339" spans="1:77" s="41" customFormat="1" ht="15.75">
      <c r="A339" s="64">
        <f>IF(F339&lt;&gt;"",1+MAX($A$2:A338),"")</f>
        <v>288</v>
      </c>
      <c r="B339" s="313"/>
      <c r="C339" s="253" t="s">
        <v>918</v>
      </c>
      <c r="D339" s="282">
        <v>10</v>
      </c>
      <c r="E339" s="281">
        <v>0</v>
      </c>
      <c r="F339" s="282">
        <f t="shared" si="197"/>
        <v>10</v>
      </c>
      <c r="G339" s="283" t="s">
        <v>14</v>
      </c>
      <c r="H339" s="246">
        <v>0</v>
      </c>
      <c r="I339" s="247">
        <f t="shared" si="198"/>
        <v>0</v>
      </c>
      <c r="J339" s="254">
        <v>0</v>
      </c>
      <c r="K339" s="255">
        <f t="shared" si="199"/>
        <v>0</v>
      </c>
      <c r="L339" s="256">
        <v>55</v>
      </c>
      <c r="M339" s="257">
        <f t="shared" si="200"/>
        <v>0</v>
      </c>
      <c r="N339" s="250">
        <f t="shared" si="201"/>
        <v>0</v>
      </c>
      <c r="O339" s="251"/>
      <c r="P339" s="18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</row>
    <row r="340" spans="1:77" s="41" customFormat="1" ht="15.75">
      <c r="A340" s="64">
        <f>IF(F340&lt;&gt;"",1+MAX($A$2:A339),"")</f>
        <v>289</v>
      </c>
      <c r="B340" s="313"/>
      <c r="C340" s="253" t="s">
        <v>919</v>
      </c>
      <c r="D340" s="282">
        <v>8</v>
      </c>
      <c r="E340" s="281">
        <v>0</v>
      </c>
      <c r="F340" s="282">
        <f t="shared" si="197"/>
        <v>8</v>
      </c>
      <c r="G340" s="283" t="s">
        <v>14</v>
      </c>
      <c r="H340" s="246">
        <v>0</v>
      </c>
      <c r="I340" s="247">
        <f t="shared" si="198"/>
        <v>0</v>
      </c>
      <c r="J340" s="254">
        <v>0</v>
      </c>
      <c r="K340" s="255">
        <f t="shared" si="199"/>
        <v>0</v>
      </c>
      <c r="L340" s="256">
        <v>55</v>
      </c>
      <c r="M340" s="257">
        <f t="shared" si="200"/>
        <v>0</v>
      </c>
      <c r="N340" s="250">
        <f t="shared" si="201"/>
        <v>0</v>
      </c>
      <c r="O340" s="251"/>
      <c r="P340" s="18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</row>
    <row r="341" spans="1:77" s="41" customFormat="1" ht="15.75">
      <c r="A341" s="64">
        <f>IF(F341&lt;&gt;"",1+MAX($A$2:A340),"")</f>
        <v>290</v>
      </c>
      <c r="B341" s="313"/>
      <c r="C341" s="253" t="s">
        <v>920</v>
      </c>
      <c r="D341" s="282">
        <v>8</v>
      </c>
      <c r="E341" s="281">
        <v>0</v>
      </c>
      <c r="F341" s="282">
        <f t="shared" si="197"/>
        <v>8</v>
      </c>
      <c r="G341" s="283" t="s">
        <v>14</v>
      </c>
      <c r="H341" s="246">
        <v>0</v>
      </c>
      <c r="I341" s="247">
        <f t="shared" si="198"/>
        <v>0</v>
      </c>
      <c r="J341" s="254">
        <v>0</v>
      </c>
      <c r="K341" s="255">
        <f t="shared" si="199"/>
        <v>0</v>
      </c>
      <c r="L341" s="256">
        <v>55</v>
      </c>
      <c r="M341" s="257">
        <f t="shared" si="200"/>
        <v>0</v>
      </c>
      <c r="N341" s="250">
        <f t="shared" si="201"/>
        <v>0</v>
      </c>
      <c r="O341" s="251"/>
      <c r="P341" s="18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</row>
    <row r="342" spans="1:77" s="41" customFormat="1" ht="15.75">
      <c r="A342" s="64">
        <f>IF(F342&lt;&gt;"",1+MAX($A$2:A341),"")</f>
        <v>291</v>
      </c>
      <c r="B342" s="313"/>
      <c r="C342" s="253" t="s">
        <v>921</v>
      </c>
      <c r="D342" s="282">
        <v>8</v>
      </c>
      <c r="E342" s="281">
        <v>0</v>
      </c>
      <c r="F342" s="282">
        <f t="shared" si="197"/>
        <v>8</v>
      </c>
      <c r="G342" s="283" t="s">
        <v>14</v>
      </c>
      <c r="H342" s="246">
        <v>0</v>
      </c>
      <c r="I342" s="247">
        <f t="shared" si="198"/>
        <v>0</v>
      </c>
      <c r="J342" s="254">
        <v>0</v>
      </c>
      <c r="K342" s="255">
        <f t="shared" si="199"/>
        <v>0</v>
      </c>
      <c r="L342" s="256">
        <v>55</v>
      </c>
      <c r="M342" s="257">
        <f t="shared" si="200"/>
        <v>0</v>
      </c>
      <c r="N342" s="250">
        <f t="shared" si="201"/>
        <v>0</v>
      </c>
      <c r="O342" s="251"/>
      <c r="P342" s="18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</row>
    <row r="343" spans="1:77" s="41" customFormat="1" ht="15.75">
      <c r="A343" s="64">
        <f>IF(F343&lt;&gt;"",1+MAX($A$2:A342),"")</f>
        <v>292</v>
      </c>
      <c r="B343" s="313"/>
      <c r="C343" s="253" t="s">
        <v>922</v>
      </c>
      <c r="D343" s="282">
        <v>2</v>
      </c>
      <c r="E343" s="281">
        <v>0</v>
      </c>
      <c r="F343" s="282">
        <f t="shared" si="197"/>
        <v>2</v>
      </c>
      <c r="G343" s="283" t="s">
        <v>14</v>
      </c>
      <c r="H343" s="246">
        <v>0</v>
      </c>
      <c r="I343" s="247">
        <f t="shared" si="198"/>
        <v>0</v>
      </c>
      <c r="J343" s="254">
        <v>0</v>
      </c>
      <c r="K343" s="255">
        <f t="shared" si="199"/>
        <v>0</v>
      </c>
      <c r="L343" s="256">
        <v>55</v>
      </c>
      <c r="M343" s="257">
        <f t="shared" si="200"/>
        <v>0</v>
      </c>
      <c r="N343" s="250">
        <f t="shared" si="201"/>
        <v>0</v>
      </c>
      <c r="O343" s="251"/>
      <c r="P343" s="18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</row>
    <row r="344" spans="1:77" s="41" customFormat="1" ht="15.75">
      <c r="A344" s="64">
        <f>IF(F344&lt;&gt;"",1+MAX($A$2:A343),"")</f>
        <v>293</v>
      </c>
      <c r="B344" s="313"/>
      <c r="C344" s="253" t="s">
        <v>923</v>
      </c>
      <c r="D344" s="282">
        <v>2</v>
      </c>
      <c r="E344" s="281">
        <v>0</v>
      </c>
      <c r="F344" s="282">
        <f t="shared" si="197"/>
        <v>2</v>
      </c>
      <c r="G344" s="283" t="s">
        <v>14</v>
      </c>
      <c r="H344" s="246">
        <v>0</v>
      </c>
      <c r="I344" s="247">
        <f t="shared" si="198"/>
        <v>0</v>
      </c>
      <c r="J344" s="254">
        <v>0</v>
      </c>
      <c r="K344" s="255">
        <f t="shared" si="199"/>
        <v>0</v>
      </c>
      <c r="L344" s="256">
        <v>55</v>
      </c>
      <c r="M344" s="257">
        <f t="shared" si="200"/>
        <v>0</v>
      </c>
      <c r="N344" s="250">
        <f t="shared" si="201"/>
        <v>0</v>
      </c>
      <c r="O344" s="251"/>
      <c r="P344" s="18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</row>
    <row r="345" spans="1:77" s="41" customFormat="1" ht="15.75">
      <c r="A345" s="64">
        <f>IF(F345&lt;&gt;"",1+MAX($A$2:A344),"")</f>
        <v>294</v>
      </c>
      <c r="B345" s="313"/>
      <c r="C345" s="253" t="s">
        <v>924</v>
      </c>
      <c r="D345" s="282">
        <v>2</v>
      </c>
      <c r="E345" s="281">
        <v>0</v>
      </c>
      <c r="F345" s="282">
        <f t="shared" si="197"/>
        <v>2</v>
      </c>
      <c r="G345" s="283" t="s">
        <v>14</v>
      </c>
      <c r="H345" s="246">
        <v>0</v>
      </c>
      <c r="I345" s="247">
        <f t="shared" si="198"/>
        <v>0</v>
      </c>
      <c r="J345" s="254">
        <v>0</v>
      </c>
      <c r="K345" s="255">
        <f t="shared" si="199"/>
        <v>0</v>
      </c>
      <c r="L345" s="256">
        <v>55</v>
      </c>
      <c r="M345" s="257">
        <f t="shared" si="200"/>
        <v>0</v>
      </c>
      <c r="N345" s="250">
        <f t="shared" si="201"/>
        <v>0</v>
      </c>
      <c r="O345" s="251"/>
      <c r="P345" s="18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</row>
    <row r="346" spans="1:77" s="41" customFormat="1" ht="15.75">
      <c r="A346" s="64">
        <f>IF(F346&lt;&gt;"",1+MAX($A$2:A345),"")</f>
        <v>295</v>
      </c>
      <c r="B346" s="313"/>
      <c r="C346" s="253" t="s">
        <v>925</v>
      </c>
      <c r="D346" s="282">
        <v>1</v>
      </c>
      <c r="E346" s="281">
        <v>0</v>
      </c>
      <c r="F346" s="282">
        <f t="shared" si="197"/>
        <v>1</v>
      </c>
      <c r="G346" s="283" t="s">
        <v>14</v>
      </c>
      <c r="H346" s="246">
        <v>0</v>
      </c>
      <c r="I346" s="247">
        <f t="shared" si="198"/>
        <v>0</v>
      </c>
      <c r="J346" s="254">
        <v>0</v>
      </c>
      <c r="K346" s="255">
        <f t="shared" si="199"/>
        <v>0</v>
      </c>
      <c r="L346" s="256">
        <v>55</v>
      </c>
      <c r="M346" s="257">
        <f t="shared" si="200"/>
        <v>0</v>
      </c>
      <c r="N346" s="250">
        <f t="shared" si="201"/>
        <v>0</v>
      </c>
      <c r="O346" s="251"/>
      <c r="P346" s="18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</row>
    <row r="347" spans="1:77" s="41" customFormat="1" ht="15.75">
      <c r="A347" s="64">
        <f>IF(F347&lt;&gt;"",1+MAX($A$2:A346),"")</f>
        <v>296</v>
      </c>
      <c r="B347" s="313"/>
      <c r="C347" s="253" t="s">
        <v>926</v>
      </c>
      <c r="D347" s="282">
        <v>1</v>
      </c>
      <c r="E347" s="281">
        <v>0</v>
      </c>
      <c r="F347" s="282">
        <f t="shared" si="197"/>
        <v>1</v>
      </c>
      <c r="G347" s="283" t="s">
        <v>14</v>
      </c>
      <c r="H347" s="246">
        <v>0</v>
      </c>
      <c r="I347" s="247">
        <f t="shared" si="198"/>
        <v>0</v>
      </c>
      <c r="J347" s="254">
        <v>0</v>
      </c>
      <c r="K347" s="255">
        <f t="shared" si="199"/>
        <v>0</v>
      </c>
      <c r="L347" s="256">
        <v>55</v>
      </c>
      <c r="M347" s="257">
        <f t="shared" si="200"/>
        <v>0</v>
      </c>
      <c r="N347" s="250">
        <f t="shared" si="201"/>
        <v>0</v>
      </c>
      <c r="O347" s="251"/>
      <c r="P347" s="18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</row>
    <row r="348" spans="1:77" s="41" customFormat="1" ht="15.75">
      <c r="A348" s="64">
        <f>IF(F348&lt;&gt;"",1+MAX($A$2:A347),"")</f>
        <v>297</v>
      </c>
      <c r="B348" s="313"/>
      <c r="C348" s="253" t="s">
        <v>927</v>
      </c>
      <c r="D348" s="282">
        <v>1</v>
      </c>
      <c r="E348" s="281">
        <v>0</v>
      </c>
      <c r="F348" s="282">
        <f t="shared" si="197"/>
        <v>1</v>
      </c>
      <c r="G348" s="283" t="s">
        <v>14</v>
      </c>
      <c r="H348" s="246">
        <v>0</v>
      </c>
      <c r="I348" s="247">
        <f t="shared" si="198"/>
        <v>0</v>
      </c>
      <c r="J348" s="254">
        <v>0</v>
      </c>
      <c r="K348" s="255">
        <f t="shared" si="199"/>
        <v>0</v>
      </c>
      <c r="L348" s="256">
        <v>55</v>
      </c>
      <c r="M348" s="257">
        <f t="shared" si="200"/>
        <v>0</v>
      </c>
      <c r="N348" s="250">
        <f t="shared" si="201"/>
        <v>0</v>
      </c>
      <c r="O348" s="251"/>
      <c r="P348" s="18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</row>
    <row r="349" spans="1:77" s="41" customFormat="1" ht="15.75">
      <c r="A349" s="64">
        <f>IF(F349&lt;&gt;"",1+MAX($A$2:A348),"")</f>
        <v>298</v>
      </c>
      <c r="B349" s="313"/>
      <c r="C349" s="253" t="s">
        <v>928</v>
      </c>
      <c r="D349" s="282">
        <v>1</v>
      </c>
      <c r="E349" s="281">
        <v>0</v>
      </c>
      <c r="F349" s="282">
        <f t="shared" si="197"/>
        <v>1</v>
      </c>
      <c r="G349" s="283" t="s">
        <v>14</v>
      </c>
      <c r="H349" s="246">
        <v>0</v>
      </c>
      <c r="I349" s="247">
        <f t="shared" si="198"/>
        <v>0</v>
      </c>
      <c r="J349" s="254">
        <v>0</v>
      </c>
      <c r="K349" s="255">
        <f t="shared" si="199"/>
        <v>0</v>
      </c>
      <c r="L349" s="256">
        <v>55</v>
      </c>
      <c r="M349" s="257">
        <f t="shared" si="200"/>
        <v>0</v>
      </c>
      <c r="N349" s="250">
        <f t="shared" si="201"/>
        <v>0</v>
      </c>
      <c r="O349" s="251"/>
      <c r="P349" s="18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</row>
    <row r="350" spans="1:77" s="41" customFormat="1" ht="15.75">
      <c r="A350" s="64">
        <f>IF(F350&lt;&gt;"",1+MAX($A$2:A349),"")</f>
        <v>299</v>
      </c>
      <c r="B350" s="313"/>
      <c r="C350" s="253" t="s">
        <v>929</v>
      </c>
      <c r="D350" s="282">
        <v>1</v>
      </c>
      <c r="E350" s="281">
        <v>0</v>
      </c>
      <c r="F350" s="282">
        <f t="shared" si="197"/>
        <v>1</v>
      </c>
      <c r="G350" s="283" t="s">
        <v>14</v>
      </c>
      <c r="H350" s="246">
        <v>0</v>
      </c>
      <c r="I350" s="247">
        <f t="shared" si="198"/>
        <v>0</v>
      </c>
      <c r="J350" s="254">
        <v>0</v>
      </c>
      <c r="K350" s="255">
        <f t="shared" si="199"/>
        <v>0</v>
      </c>
      <c r="L350" s="256">
        <v>55</v>
      </c>
      <c r="M350" s="257">
        <f t="shared" si="200"/>
        <v>0</v>
      </c>
      <c r="N350" s="250">
        <f t="shared" si="201"/>
        <v>0</v>
      </c>
      <c r="O350" s="251"/>
      <c r="P350" s="18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</row>
    <row r="351" spans="1:77" s="41" customFormat="1" ht="15.75">
      <c r="A351" s="64">
        <f>IF(F351&lt;&gt;"",1+MAX($A$2:A350),"")</f>
        <v>300</v>
      </c>
      <c r="B351" s="313"/>
      <c r="C351" s="253" t="s">
        <v>930</v>
      </c>
      <c r="D351" s="282">
        <v>1</v>
      </c>
      <c r="E351" s="281">
        <v>0</v>
      </c>
      <c r="F351" s="282">
        <f t="shared" si="197"/>
        <v>1</v>
      </c>
      <c r="G351" s="283" t="s">
        <v>14</v>
      </c>
      <c r="H351" s="246">
        <v>0</v>
      </c>
      <c r="I351" s="247">
        <f t="shared" si="198"/>
        <v>0</v>
      </c>
      <c r="J351" s="254">
        <v>0</v>
      </c>
      <c r="K351" s="255">
        <f t="shared" si="199"/>
        <v>0</v>
      </c>
      <c r="L351" s="256">
        <v>55</v>
      </c>
      <c r="M351" s="257">
        <f t="shared" si="200"/>
        <v>0</v>
      </c>
      <c r="N351" s="250">
        <f t="shared" si="201"/>
        <v>0</v>
      </c>
      <c r="O351" s="251"/>
      <c r="P351" s="18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</row>
    <row r="352" spans="1:77" s="41" customFormat="1" ht="15.75">
      <c r="A352" s="64">
        <f>IF(F352&lt;&gt;"",1+MAX($A$2:A351),"")</f>
        <v>301</v>
      </c>
      <c r="B352" s="313"/>
      <c r="C352" s="253" t="s">
        <v>931</v>
      </c>
      <c r="D352" s="282">
        <v>1</v>
      </c>
      <c r="E352" s="281">
        <v>0</v>
      </c>
      <c r="F352" s="282">
        <f t="shared" si="197"/>
        <v>1</v>
      </c>
      <c r="G352" s="283" t="s">
        <v>14</v>
      </c>
      <c r="H352" s="246">
        <v>0</v>
      </c>
      <c r="I352" s="247">
        <f t="shared" si="198"/>
        <v>0</v>
      </c>
      <c r="J352" s="254">
        <v>0</v>
      </c>
      <c r="K352" s="255">
        <f t="shared" si="199"/>
        <v>0</v>
      </c>
      <c r="L352" s="256">
        <v>55</v>
      </c>
      <c r="M352" s="257">
        <f t="shared" si="200"/>
        <v>0</v>
      </c>
      <c r="N352" s="250">
        <f t="shared" si="201"/>
        <v>0</v>
      </c>
      <c r="O352" s="251"/>
      <c r="P352" s="18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</row>
    <row r="353" spans="1:77" s="41" customFormat="1" ht="15.75">
      <c r="A353" s="64">
        <f>IF(F353&lt;&gt;"",1+MAX($A$2:A352),"")</f>
        <v>302</v>
      </c>
      <c r="B353" s="313"/>
      <c r="C353" s="253" t="s">
        <v>932</v>
      </c>
      <c r="D353" s="282">
        <v>1</v>
      </c>
      <c r="E353" s="281">
        <v>0</v>
      </c>
      <c r="F353" s="282">
        <f t="shared" si="197"/>
        <v>1</v>
      </c>
      <c r="G353" s="283" t="s">
        <v>14</v>
      </c>
      <c r="H353" s="246">
        <v>0</v>
      </c>
      <c r="I353" s="247">
        <f t="shared" si="198"/>
        <v>0</v>
      </c>
      <c r="J353" s="254">
        <v>0</v>
      </c>
      <c r="K353" s="255">
        <f t="shared" si="199"/>
        <v>0</v>
      </c>
      <c r="L353" s="256">
        <v>55</v>
      </c>
      <c r="M353" s="257">
        <f t="shared" si="200"/>
        <v>0</v>
      </c>
      <c r="N353" s="250">
        <f t="shared" si="201"/>
        <v>0</v>
      </c>
      <c r="O353" s="251"/>
      <c r="P353" s="18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</row>
    <row r="354" spans="1:77" s="41" customFormat="1" ht="15.75">
      <c r="A354" s="64">
        <f>IF(F354&lt;&gt;"",1+MAX($A$2:A353),"")</f>
        <v>303</v>
      </c>
      <c r="B354" s="313"/>
      <c r="C354" s="253" t="s">
        <v>933</v>
      </c>
      <c r="D354" s="282">
        <v>1</v>
      </c>
      <c r="E354" s="281">
        <v>0</v>
      </c>
      <c r="F354" s="282">
        <f t="shared" si="197"/>
        <v>1</v>
      </c>
      <c r="G354" s="283" t="s">
        <v>14</v>
      </c>
      <c r="H354" s="246">
        <v>0</v>
      </c>
      <c r="I354" s="247">
        <f t="shared" si="198"/>
        <v>0</v>
      </c>
      <c r="J354" s="254">
        <v>0</v>
      </c>
      <c r="K354" s="255">
        <f t="shared" si="199"/>
        <v>0</v>
      </c>
      <c r="L354" s="256">
        <v>55</v>
      </c>
      <c r="M354" s="257">
        <f t="shared" si="200"/>
        <v>0</v>
      </c>
      <c r="N354" s="250">
        <f t="shared" si="201"/>
        <v>0</v>
      </c>
      <c r="O354" s="251"/>
      <c r="P354" s="18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</row>
    <row r="355" spans="1:77" s="41" customFormat="1" ht="15.75">
      <c r="A355" s="64">
        <f>IF(F355&lt;&gt;"",1+MAX($A$2:A354),"")</f>
        <v>304</v>
      </c>
      <c r="B355" s="313"/>
      <c r="C355" s="253" t="s">
        <v>934</v>
      </c>
      <c r="D355" s="282">
        <v>1</v>
      </c>
      <c r="E355" s="281">
        <v>0</v>
      </c>
      <c r="F355" s="282">
        <f t="shared" si="197"/>
        <v>1</v>
      </c>
      <c r="G355" s="283" t="s">
        <v>14</v>
      </c>
      <c r="H355" s="246">
        <v>0</v>
      </c>
      <c r="I355" s="247">
        <f t="shared" si="198"/>
        <v>0</v>
      </c>
      <c r="J355" s="254">
        <v>0</v>
      </c>
      <c r="K355" s="255">
        <f t="shared" si="199"/>
        <v>0</v>
      </c>
      <c r="L355" s="256">
        <v>55</v>
      </c>
      <c r="M355" s="257">
        <f t="shared" si="200"/>
        <v>0</v>
      </c>
      <c r="N355" s="250">
        <f t="shared" si="201"/>
        <v>0</v>
      </c>
      <c r="O355" s="251"/>
      <c r="P355" s="18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</row>
    <row r="356" spans="1:77" s="41" customFormat="1" ht="15.75">
      <c r="A356" s="64">
        <f>IF(F356&lt;&gt;"",1+MAX($A$2:A355),"")</f>
        <v>305</v>
      </c>
      <c r="B356" s="313"/>
      <c r="C356" s="253" t="s">
        <v>935</v>
      </c>
      <c r="D356" s="282">
        <v>1</v>
      </c>
      <c r="E356" s="281">
        <v>0</v>
      </c>
      <c r="F356" s="282">
        <f t="shared" si="197"/>
        <v>1</v>
      </c>
      <c r="G356" s="283" t="s">
        <v>14</v>
      </c>
      <c r="H356" s="246">
        <v>0</v>
      </c>
      <c r="I356" s="247">
        <f t="shared" si="198"/>
        <v>0</v>
      </c>
      <c r="J356" s="254">
        <v>0</v>
      </c>
      <c r="K356" s="255">
        <f t="shared" si="199"/>
        <v>0</v>
      </c>
      <c r="L356" s="256">
        <v>55</v>
      </c>
      <c r="M356" s="257">
        <f t="shared" si="200"/>
        <v>0</v>
      </c>
      <c r="N356" s="250">
        <f t="shared" si="201"/>
        <v>0</v>
      </c>
      <c r="O356" s="251"/>
      <c r="P356" s="18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</row>
    <row r="357" spans="1:77" s="41" customFormat="1" ht="15.75">
      <c r="A357" s="64">
        <f>IF(F357&lt;&gt;"",1+MAX($A$2:A356),"")</f>
        <v>306</v>
      </c>
      <c r="B357" s="313"/>
      <c r="C357" s="253" t="s">
        <v>936</v>
      </c>
      <c r="D357" s="282">
        <v>1</v>
      </c>
      <c r="E357" s="281">
        <v>0</v>
      </c>
      <c r="F357" s="282">
        <f t="shared" si="197"/>
        <v>1</v>
      </c>
      <c r="G357" s="283" t="s">
        <v>14</v>
      </c>
      <c r="H357" s="246">
        <v>0</v>
      </c>
      <c r="I357" s="247">
        <f t="shared" si="198"/>
        <v>0</v>
      </c>
      <c r="J357" s="254">
        <v>0</v>
      </c>
      <c r="K357" s="255">
        <f t="shared" si="199"/>
        <v>0</v>
      </c>
      <c r="L357" s="256">
        <v>55</v>
      </c>
      <c r="M357" s="257">
        <f t="shared" si="200"/>
        <v>0</v>
      </c>
      <c r="N357" s="250">
        <f t="shared" si="201"/>
        <v>0</v>
      </c>
      <c r="O357" s="251"/>
      <c r="P357" s="18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</row>
    <row r="358" spans="1:77" s="41" customFormat="1" ht="15.75">
      <c r="A358" s="64">
        <f>IF(F358&lt;&gt;"",1+MAX($A$2:A357),"")</f>
        <v>307</v>
      </c>
      <c r="B358" s="313"/>
      <c r="C358" s="253" t="s">
        <v>937</v>
      </c>
      <c r="D358" s="282">
        <v>2</v>
      </c>
      <c r="E358" s="281">
        <v>0</v>
      </c>
      <c r="F358" s="282">
        <f t="shared" si="197"/>
        <v>2</v>
      </c>
      <c r="G358" s="283" t="s">
        <v>14</v>
      </c>
      <c r="H358" s="246">
        <v>0</v>
      </c>
      <c r="I358" s="247">
        <f t="shared" si="198"/>
        <v>0</v>
      </c>
      <c r="J358" s="254">
        <v>0</v>
      </c>
      <c r="K358" s="255">
        <f t="shared" si="199"/>
        <v>0</v>
      </c>
      <c r="L358" s="256">
        <v>55</v>
      </c>
      <c r="M358" s="257">
        <f t="shared" si="200"/>
        <v>0</v>
      </c>
      <c r="N358" s="250">
        <f t="shared" si="201"/>
        <v>0</v>
      </c>
      <c r="O358" s="251"/>
      <c r="P358" s="18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</row>
    <row r="359" spans="1:77" s="41" customFormat="1" ht="15.75">
      <c r="A359" s="64">
        <f>IF(F359&lt;&gt;"",1+MAX($A$2:A358),"")</f>
        <v>308</v>
      </c>
      <c r="B359" s="313"/>
      <c r="C359" s="253" t="s">
        <v>938</v>
      </c>
      <c r="D359" s="282">
        <v>14</v>
      </c>
      <c r="E359" s="281">
        <v>0</v>
      </c>
      <c r="F359" s="282">
        <f t="shared" si="197"/>
        <v>14</v>
      </c>
      <c r="G359" s="283" t="s">
        <v>14</v>
      </c>
      <c r="H359" s="246">
        <v>0</v>
      </c>
      <c r="I359" s="247">
        <f t="shared" si="198"/>
        <v>0</v>
      </c>
      <c r="J359" s="254">
        <v>0</v>
      </c>
      <c r="K359" s="255">
        <f t="shared" si="199"/>
        <v>0</v>
      </c>
      <c r="L359" s="256">
        <v>55</v>
      </c>
      <c r="M359" s="257">
        <f t="shared" si="200"/>
        <v>0</v>
      </c>
      <c r="N359" s="250">
        <f t="shared" si="201"/>
        <v>0</v>
      </c>
      <c r="O359" s="251"/>
      <c r="P359" s="18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</row>
    <row r="360" spans="1:77" s="41" customFormat="1" ht="15.75">
      <c r="A360" s="64">
        <f>IF(F360&lt;&gt;"",1+MAX($A$2:A359),"")</f>
        <v>309</v>
      </c>
      <c r="B360" s="313"/>
      <c r="C360" s="253" t="s">
        <v>939</v>
      </c>
      <c r="D360" s="282">
        <v>8</v>
      </c>
      <c r="E360" s="281">
        <v>0</v>
      </c>
      <c r="F360" s="282">
        <f t="shared" si="197"/>
        <v>8</v>
      </c>
      <c r="G360" s="283" t="s">
        <v>14</v>
      </c>
      <c r="H360" s="246">
        <v>0</v>
      </c>
      <c r="I360" s="247">
        <f t="shared" si="198"/>
        <v>0</v>
      </c>
      <c r="J360" s="254">
        <v>0</v>
      </c>
      <c r="K360" s="255">
        <f t="shared" si="199"/>
        <v>0</v>
      </c>
      <c r="L360" s="256">
        <v>55</v>
      </c>
      <c r="M360" s="257">
        <f t="shared" si="200"/>
        <v>0</v>
      </c>
      <c r="N360" s="250">
        <f t="shared" si="201"/>
        <v>0</v>
      </c>
      <c r="O360" s="251"/>
      <c r="P360" s="18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</row>
    <row r="361" spans="1:77" s="41" customFormat="1" ht="15.75">
      <c r="A361" s="64">
        <f>IF(F361&lt;&gt;"",1+MAX($A$2:A360),"")</f>
        <v>310</v>
      </c>
      <c r="B361" s="313"/>
      <c r="C361" s="253" t="s">
        <v>940</v>
      </c>
      <c r="D361" s="282">
        <v>2</v>
      </c>
      <c r="E361" s="281">
        <v>0</v>
      </c>
      <c r="F361" s="282">
        <f t="shared" si="197"/>
        <v>2</v>
      </c>
      <c r="G361" s="283" t="s">
        <v>14</v>
      </c>
      <c r="H361" s="246">
        <v>0</v>
      </c>
      <c r="I361" s="247">
        <f t="shared" si="198"/>
        <v>0</v>
      </c>
      <c r="J361" s="254">
        <v>0</v>
      </c>
      <c r="K361" s="255">
        <f t="shared" si="199"/>
        <v>0</v>
      </c>
      <c r="L361" s="256">
        <v>55</v>
      </c>
      <c r="M361" s="257">
        <f t="shared" si="200"/>
        <v>0</v>
      </c>
      <c r="N361" s="250">
        <f t="shared" si="201"/>
        <v>0</v>
      </c>
      <c r="O361" s="251"/>
      <c r="P361" s="18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</row>
    <row r="362" spans="1:77" s="41" customFormat="1" ht="31.5">
      <c r="A362" s="64">
        <f>IF(F362&lt;&gt;"",1+MAX($A$2:A361),"")</f>
        <v>311</v>
      </c>
      <c r="B362" s="313"/>
      <c r="C362" s="253" t="s">
        <v>941</v>
      </c>
      <c r="D362" s="282">
        <v>1</v>
      </c>
      <c r="E362" s="281">
        <v>0</v>
      </c>
      <c r="F362" s="282">
        <f t="shared" si="197"/>
        <v>1</v>
      </c>
      <c r="G362" s="283" t="s">
        <v>14</v>
      </c>
      <c r="H362" s="246">
        <v>0</v>
      </c>
      <c r="I362" s="247">
        <f t="shared" si="198"/>
        <v>0</v>
      </c>
      <c r="J362" s="254">
        <v>0</v>
      </c>
      <c r="K362" s="255">
        <f t="shared" si="199"/>
        <v>0</v>
      </c>
      <c r="L362" s="256">
        <v>55</v>
      </c>
      <c r="M362" s="257">
        <f t="shared" si="200"/>
        <v>0</v>
      </c>
      <c r="N362" s="250">
        <f t="shared" si="201"/>
        <v>0</v>
      </c>
      <c r="O362" s="251"/>
      <c r="P362" s="18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</row>
    <row r="363" spans="1:77" s="41" customFormat="1" ht="31.5">
      <c r="A363" s="64">
        <f>IF(F363&lt;&gt;"",1+MAX($A$2:A362),"")</f>
        <v>312</v>
      </c>
      <c r="B363" s="313"/>
      <c r="C363" s="253" t="s">
        <v>942</v>
      </c>
      <c r="D363" s="282">
        <v>1</v>
      </c>
      <c r="E363" s="281">
        <v>0</v>
      </c>
      <c r="F363" s="282">
        <f t="shared" si="197"/>
        <v>1</v>
      </c>
      <c r="G363" s="283" t="s">
        <v>14</v>
      </c>
      <c r="H363" s="246">
        <v>0</v>
      </c>
      <c r="I363" s="247">
        <f t="shared" si="198"/>
        <v>0</v>
      </c>
      <c r="J363" s="254">
        <v>0</v>
      </c>
      <c r="K363" s="255">
        <f t="shared" si="199"/>
        <v>0</v>
      </c>
      <c r="L363" s="256">
        <v>55</v>
      </c>
      <c r="M363" s="257">
        <f t="shared" si="200"/>
        <v>0</v>
      </c>
      <c r="N363" s="250">
        <f t="shared" si="201"/>
        <v>0</v>
      </c>
      <c r="O363" s="251"/>
      <c r="P363" s="18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</row>
    <row r="364" spans="1:77" s="41" customFormat="1" ht="31.5">
      <c r="A364" s="64">
        <f>IF(F364&lt;&gt;"",1+MAX($A$2:A363),"")</f>
        <v>313</v>
      </c>
      <c r="B364" s="313"/>
      <c r="C364" s="253" t="s">
        <v>943</v>
      </c>
      <c r="D364" s="282">
        <v>2</v>
      </c>
      <c r="E364" s="281">
        <v>0</v>
      </c>
      <c r="F364" s="282">
        <f t="shared" si="197"/>
        <v>2</v>
      </c>
      <c r="G364" s="283" t="s">
        <v>14</v>
      </c>
      <c r="H364" s="246">
        <v>0</v>
      </c>
      <c r="I364" s="247">
        <f t="shared" si="198"/>
        <v>0</v>
      </c>
      <c r="J364" s="254">
        <v>0</v>
      </c>
      <c r="K364" s="255">
        <f t="shared" si="199"/>
        <v>0</v>
      </c>
      <c r="L364" s="256">
        <v>55</v>
      </c>
      <c r="M364" s="257">
        <f t="shared" si="200"/>
        <v>0</v>
      </c>
      <c r="N364" s="250">
        <f t="shared" si="201"/>
        <v>0</v>
      </c>
      <c r="O364" s="251"/>
      <c r="P364" s="18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</row>
    <row r="365" spans="1:77" s="41" customFormat="1" ht="31.5">
      <c r="A365" s="64">
        <f>IF(F365&lt;&gt;"",1+MAX($A$2:A364),"")</f>
        <v>314</v>
      </c>
      <c r="B365" s="313"/>
      <c r="C365" s="253" t="s">
        <v>944</v>
      </c>
      <c r="D365" s="282">
        <v>8</v>
      </c>
      <c r="E365" s="281">
        <v>0</v>
      </c>
      <c r="F365" s="282">
        <f t="shared" si="197"/>
        <v>8</v>
      </c>
      <c r="G365" s="283" t="s">
        <v>14</v>
      </c>
      <c r="H365" s="246">
        <v>0</v>
      </c>
      <c r="I365" s="247">
        <f t="shared" si="198"/>
        <v>0</v>
      </c>
      <c r="J365" s="254">
        <v>0</v>
      </c>
      <c r="K365" s="255">
        <f t="shared" si="199"/>
        <v>0</v>
      </c>
      <c r="L365" s="256">
        <v>55</v>
      </c>
      <c r="M365" s="257">
        <f t="shared" si="200"/>
        <v>0</v>
      </c>
      <c r="N365" s="250">
        <f t="shared" si="201"/>
        <v>0</v>
      </c>
      <c r="O365" s="251"/>
      <c r="P365" s="18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</row>
    <row r="366" spans="1:77" s="41" customFormat="1" ht="31.5">
      <c r="A366" s="64">
        <f>IF(F366&lt;&gt;"",1+MAX($A$2:A365),"")</f>
        <v>315</v>
      </c>
      <c r="B366" s="313"/>
      <c r="C366" s="253" t="s">
        <v>945</v>
      </c>
      <c r="D366" s="282">
        <v>4</v>
      </c>
      <c r="E366" s="281">
        <v>0</v>
      </c>
      <c r="F366" s="282">
        <f t="shared" si="197"/>
        <v>4</v>
      </c>
      <c r="G366" s="283" t="s">
        <v>14</v>
      </c>
      <c r="H366" s="246">
        <v>0</v>
      </c>
      <c r="I366" s="247">
        <f t="shared" si="198"/>
        <v>0</v>
      </c>
      <c r="J366" s="254">
        <v>0</v>
      </c>
      <c r="K366" s="255">
        <f t="shared" si="199"/>
        <v>0</v>
      </c>
      <c r="L366" s="256">
        <v>55</v>
      </c>
      <c r="M366" s="257">
        <f t="shared" si="200"/>
        <v>0</v>
      </c>
      <c r="N366" s="250">
        <f t="shared" si="201"/>
        <v>0</v>
      </c>
      <c r="O366" s="251"/>
      <c r="P366" s="18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</row>
    <row r="367" spans="1:77" s="41" customFormat="1" ht="31.5">
      <c r="A367" s="64">
        <f>IF(F367&lt;&gt;"",1+MAX($A$2:A366),"")</f>
        <v>316</v>
      </c>
      <c r="B367" s="313"/>
      <c r="C367" s="253" t="s">
        <v>946</v>
      </c>
      <c r="D367" s="282">
        <v>2</v>
      </c>
      <c r="E367" s="281">
        <v>0</v>
      </c>
      <c r="F367" s="282">
        <f t="shared" si="197"/>
        <v>2</v>
      </c>
      <c r="G367" s="283" t="s">
        <v>14</v>
      </c>
      <c r="H367" s="246">
        <v>0</v>
      </c>
      <c r="I367" s="247">
        <f t="shared" si="198"/>
        <v>0</v>
      </c>
      <c r="J367" s="254">
        <v>0</v>
      </c>
      <c r="K367" s="255">
        <f t="shared" si="199"/>
        <v>0</v>
      </c>
      <c r="L367" s="256">
        <v>55</v>
      </c>
      <c r="M367" s="257">
        <f t="shared" si="200"/>
        <v>0</v>
      </c>
      <c r="N367" s="250">
        <f t="shared" si="201"/>
        <v>0</v>
      </c>
      <c r="O367" s="251"/>
      <c r="P367" s="18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</row>
    <row r="368" spans="1:77" s="41" customFormat="1" ht="31.5">
      <c r="A368" s="64">
        <f>IF(F368&lt;&gt;"",1+MAX($A$2:A367),"")</f>
        <v>317</v>
      </c>
      <c r="B368" s="313"/>
      <c r="C368" s="253" t="s">
        <v>947</v>
      </c>
      <c r="D368" s="282">
        <v>2</v>
      </c>
      <c r="E368" s="281">
        <v>0</v>
      </c>
      <c r="F368" s="282">
        <f t="shared" si="197"/>
        <v>2</v>
      </c>
      <c r="G368" s="283" t="s">
        <v>14</v>
      </c>
      <c r="H368" s="246">
        <v>0</v>
      </c>
      <c r="I368" s="247">
        <f t="shared" si="198"/>
        <v>0</v>
      </c>
      <c r="J368" s="254">
        <v>0</v>
      </c>
      <c r="K368" s="255">
        <f t="shared" si="199"/>
        <v>0</v>
      </c>
      <c r="L368" s="256">
        <v>55</v>
      </c>
      <c r="M368" s="257">
        <f t="shared" si="200"/>
        <v>0</v>
      </c>
      <c r="N368" s="250">
        <f t="shared" si="201"/>
        <v>0</v>
      </c>
      <c r="O368" s="251"/>
      <c r="P368" s="18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</row>
    <row r="369" spans="1:77" s="41" customFormat="1" ht="15.75">
      <c r="A369" s="64">
        <f>IF(F369&lt;&gt;"",1+MAX($A$2:A368),"")</f>
        <v>318</v>
      </c>
      <c r="B369" s="313"/>
      <c r="C369" s="253" t="s">
        <v>948</v>
      </c>
      <c r="D369" s="282">
        <v>1</v>
      </c>
      <c r="E369" s="281">
        <v>0</v>
      </c>
      <c r="F369" s="282">
        <f t="shared" si="197"/>
        <v>1</v>
      </c>
      <c r="G369" s="283" t="s">
        <v>14</v>
      </c>
      <c r="H369" s="246">
        <v>0</v>
      </c>
      <c r="I369" s="247">
        <f t="shared" si="198"/>
        <v>0</v>
      </c>
      <c r="J369" s="254">
        <v>0</v>
      </c>
      <c r="K369" s="255">
        <f t="shared" si="199"/>
        <v>0</v>
      </c>
      <c r="L369" s="256">
        <v>55</v>
      </c>
      <c r="M369" s="257">
        <f t="shared" si="200"/>
        <v>0</v>
      </c>
      <c r="N369" s="250">
        <f t="shared" si="201"/>
        <v>0</v>
      </c>
      <c r="O369" s="251"/>
      <c r="P369" s="18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</row>
    <row r="370" spans="1:77" s="41" customFormat="1" ht="15.75">
      <c r="A370" s="64">
        <f>IF(F370&lt;&gt;"",1+MAX($A$2:A369),"")</f>
        <v>319</v>
      </c>
      <c r="B370" s="313"/>
      <c r="C370" s="253" t="s">
        <v>949</v>
      </c>
      <c r="D370" s="282">
        <v>7</v>
      </c>
      <c r="E370" s="281">
        <v>0</v>
      </c>
      <c r="F370" s="282">
        <f t="shared" si="197"/>
        <v>7</v>
      </c>
      <c r="G370" s="283" t="s">
        <v>14</v>
      </c>
      <c r="H370" s="246">
        <v>0</v>
      </c>
      <c r="I370" s="247">
        <f t="shared" si="198"/>
        <v>0</v>
      </c>
      <c r="J370" s="254">
        <v>0</v>
      </c>
      <c r="K370" s="255">
        <f t="shared" si="199"/>
        <v>0</v>
      </c>
      <c r="L370" s="256">
        <v>55</v>
      </c>
      <c r="M370" s="257">
        <f t="shared" si="200"/>
        <v>0</v>
      </c>
      <c r="N370" s="250">
        <f t="shared" si="201"/>
        <v>0</v>
      </c>
      <c r="O370" s="251"/>
      <c r="P370" s="18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</row>
    <row r="371" spans="1:77" s="41" customFormat="1" ht="15.75">
      <c r="A371" s="64">
        <f>IF(F371&lt;&gt;"",1+MAX($A$2:A370),"")</f>
        <v>320</v>
      </c>
      <c r="B371" s="313"/>
      <c r="C371" s="253" t="s">
        <v>950</v>
      </c>
      <c r="D371" s="282">
        <v>6</v>
      </c>
      <c r="E371" s="281">
        <v>0</v>
      </c>
      <c r="F371" s="282">
        <f t="shared" si="197"/>
        <v>6</v>
      </c>
      <c r="G371" s="283" t="s">
        <v>14</v>
      </c>
      <c r="H371" s="246">
        <v>0</v>
      </c>
      <c r="I371" s="247">
        <f t="shared" si="198"/>
        <v>0</v>
      </c>
      <c r="J371" s="254">
        <v>0</v>
      </c>
      <c r="K371" s="255">
        <f t="shared" si="199"/>
        <v>0</v>
      </c>
      <c r="L371" s="256">
        <v>55</v>
      </c>
      <c r="M371" s="257">
        <f t="shared" si="200"/>
        <v>0</v>
      </c>
      <c r="N371" s="250">
        <f t="shared" si="201"/>
        <v>0</v>
      </c>
      <c r="O371" s="251"/>
      <c r="P371" s="18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</row>
    <row r="372" spans="1:77" s="41" customFormat="1" ht="15.75">
      <c r="A372" s="64">
        <f>IF(F372&lt;&gt;"",1+MAX($A$2:A371),"")</f>
        <v>321</v>
      </c>
      <c r="B372" s="313"/>
      <c r="C372" s="253" t="s">
        <v>951</v>
      </c>
      <c r="D372" s="282">
        <v>1</v>
      </c>
      <c r="E372" s="281">
        <v>0</v>
      </c>
      <c r="F372" s="282">
        <f t="shared" si="197"/>
        <v>1</v>
      </c>
      <c r="G372" s="283" t="s">
        <v>14</v>
      </c>
      <c r="H372" s="246">
        <v>0</v>
      </c>
      <c r="I372" s="247">
        <f t="shared" si="198"/>
        <v>0</v>
      </c>
      <c r="J372" s="254">
        <v>0</v>
      </c>
      <c r="K372" s="255">
        <f t="shared" si="199"/>
        <v>0</v>
      </c>
      <c r="L372" s="256">
        <v>55</v>
      </c>
      <c r="M372" s="257">
        <f t="shared" si="200"/>
        <v>0</v>
      </c>
      <c r="N372" s="250">
        <f t="shared" si="201"/>
        <v>0</v>
      </c>
      <c r="O372" s="251"/>
      <c r="P372" s="18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</row>
    <row r="373" spans="1:77" s="41" customFormat="1" ht="15.75">
      <c r="A373" s="64">
        <f>IF(F373&lt;&gt;"",1+MAX($A$2:A372),"")</f>
        <v>322</v>
      </c>
      <c r="B373" s="313"/>
      <c r="C373" s="253" t="s">
        <v>952</v>
      </c>
      <c r="D373" s="282">
        <v>1</v>
      </c>
      <c r="E373" s="281">
        <v>0</v>
      </c>
      <c r="F373" s="282">
        <f t="shared" si="197"/>
        <v>1</v>
      </c>
      <c r="G373" s="283" t="s">
        <v>14</v>
      </c>
      <c r="H373" s="246">
        <v>0</v>
      </c>
      <c r="I373" s="247">
        <f t="shared" si="198"/>
        <v>0</v>
      </c>
      <c r="J373" s="254">
        <v>0</v>
      </c>
      <c r="K373" s="255">
        <f t="shared" si="199"/>
        <v>0</v>
      </c>
      <c r="L373" s="256">
        <v>55</v>
      </c>
      <c r="M373" s="257">
        <f t="shared" si="200"/>
        <v>0</v>
      </c>
      <c r="N373" s="250">
        <f t="shared" si="201"/>
        <v>0</v>
      </c>
      <c r="O373" s="251"/>
      <c r="P373" s="18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</row>
    <row r="374" spans="1:77" s="41" customFormat="1" ht="15.75">
      <c r="A374" s="64">
        <f>IF(F374&lt;&gt;"",1+MAX($A$2:A373),"")</f>
        <v>323</v>
      </c>
      <c r="B374" s="313"/>
      <c r="C374" s="253" t="s">
        <v>953</v>
      </c>
      <c r="D374" s="282">
        <v>1</v>
      </c>
      <c r="E374" s="281">
        <v>0</v>
      </c>
      <c r="F374" s="282">
        <f t="shared" si="197"/>
        <v>1</v>
      </c>
      <c r="G374" s="283" t="s">
        <v>14</v>
      </c>
      <c r="H374" s="246">
        <v>0</v>
      </c>
      <c r="I374" s="247">
        <f t="shared" si="198"/>
        <v>0</v>
      </c>
      <c r="J374" s="254">
        <v>0</v>
      </c>
      <c r="K374" s="255">
        <f t="shared" si="199"/>
        <v>0</v>
      </c>
      <c r="L374" s="256">
        <v>55</v>
      </c>
      <c r="M374" s="257">
        <f t="shared" si="200"/>
        <v>0</v>
      </c>
      <c r="N374" s="250">
        <f t="shared" si="201"/>
        <v>0</v>
      </c>
      <c r="O374" s="251"/>
      <c r="P374" s="18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</row>
    <row r="375" spans="1:77" s="41" customFormat="1" ht="15.75">
      <c r="A375" s="64">
        <f>IF(F375&lt;&gt;"",1+MAX($A$2:A374),"")</f>
        <v>324</v>
      </c>
      <c r="B375" s="313"/>
      <c r="C375" s="253" t="s">
        <v>954</v>
      </c>
      <c r="D375" s="243">
        <v>1</v>
      </c>
      <c r="E375" s="281">
        <v>0</v>
      </c>
      <c r="F375" s="282">
        <f t="shared" si="197"/>
        <v>1</v>
      </c>
      <c r="G375" s="283" t="s">
        <v>14</v>
      </c>
      <c r="H375" s="246">
        <v>0</v>
      </c>
      <c r="I375" s="247">
        <f t="shared" si="198"/>
        <v>0</v>
      </c>
      <c r="J375" s="254">
        <v>0</v>
      </c>
      <c r="K375" s="255">
        <f t="shared" si="199"/>
        <v>0</v>
      </c>
      <c r="L375" s="256">
        <v>55</v>
      </c>
      <c r="M375" s="257">
        <f t="shared" si="200"/>
        <v>0</v>
      </c>
      <c r="N375" s="250">
        <f t="shared" si="201"/>
        <v>0</v>
      </c>
      <c r="O375" s="251"/>
      <c r="P375" s="18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</row>
    <row r="376" spans="1:77" s="41" customFormat="1" ht="15.75">
      <c r="A376" s="64" t="str">
        <f>IF(F376&lt;&gt;"",1+MAX($A$2:A375),"")</f>
        <v/>
      </c>
      <c r="B376" s="313"/>
      <c r="C376" s="252" t="s">
        <v>955</v>
      </c>
      <c r="D376" s="243"/>
      <c r="E376" s="244"/>
      <c r="F376" s="243"/>
      <c r="G376" s="245"/>
      <c r="H376" s="246"/>
      <c r="I376" s="247"/>
      <c r="J376" s="247"/>
      <c r="K376" s="247"/>
      <c r="L376" s="256"/>
      <c r="M376" s="249"/>
      <c r="N376" s="250"/>
      <c r="O376" s="251"/>
      <c r="P376" s="18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</row>
    <row r="377" spans="1:77" s="41" customFormat="1" ht="15.75">
      <c r="A377" s="64">
        <f>IF(F377&lt;&gt;"",1+MAX($A$2:A376),"")</f>
        <v>325</v>
      </c>
      <c r="B377" s="313"/>
      <c r="C377" s="284" t="s">
        <v>956</v>
      </c>
      <c r="D377" s="282">
        <v>19</v>
      </c>
      <c r="E377" s="281">
        <v>0.05</v>
      </c>
      <c r="F377" s="282">
        <f t="shared" ref="F377" si="202">(1+E377)*D377</f>
        <v>19.95</v>
      </c>
      <c r="G377" s="283" t="s">
        <v>13</v>
      </c>
      <c r="H377" s="246">
        <v>0</v>
      </c>
      <c r="I377" s="247">
        <f t="shared" ref="I377" si="203">H377*F377</f>
        <v>0</v>
      </c>
      <c r="J377" s="254">
        <v>0</v>
      </c>
      <c r="K377" s="255">
        <f t="shared" ref="K377" si="204">J377*F377</f>
        <v>0</v>
      </c>
      <c r="L377" s="256">
        <v>55</v>
      </c>
      <c r="M377" s="257">
        <f t="shared" ref="M377" si="205">L377*K377</f>
        <v>0</v>
      </c>
      <c r="N377" s="250">
        <f t="shared" ref="N377" si="206">M377+I377</f>
        <v>0</v>
      </c>
      <c r="O377" s="251"/>
      <c r="P377" s="18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</row>
    <row r="378" spans="1:77" s="41" customFormat="1" ht="15.75">
      <c r="A378" s="64" t="str">
        <f>IF(F378&lt;&gt;"",1+MAX($A$2:A377),"")</f>
        <v/>
      </c>
      <c r="B378" s="313"/>
      <c r="C378" s="252" t="s">
        <v>957</v>
      </c>
      <c r="D378" s="243"/>
      <c r="E378" s="244"/>
      <c r="F378" s="243"/>
      <c r="G378" s="245"/>
      <c r="H378" s="246"/>
      <c r="I378" s="247"/>
      <c r="J378" s="247"/>
      <c r="K378" s="247"/>
      <c r="L378" s="256"/>
      <c r="M378" s="249"/>
      <c r="N378" s="250"/>
      <c r="O378" s="251"/>
      <c r="P378" s="18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</row>
    <row r="379" spans="1:77" s="41" customFormat="1" ht="31.5">
      <c r="A379" s="64">
        <f>IF(F379&lt;&gt;"",1+MAX($A$2:A378),"")</f>
        <v>326</v>
      </c>
      <c r="B379" s="313"/>
      <c r="C379" s="253" t="s">
        <v>958</v>
      </c>
      <c r="D379" s="243">
        <v>1</v>
      </c>
      <c r="E379" s="244">
        <v>0</v>
      </c>
      <c r="F379" s="243">
        <f t="shared" ref="F379" si="207">(1+E379)*D379</f>
        <v>1</v>
      </c>
      <c r="G379" s="245" t="s">
        <v>722</v>
      </c>
      <c r="H379" s="246">
        <v>0</v>
      </c>
      <c r="I379" s="247">
        <f t="shared" ref="I379" si="208">H379*F379</f>
        <v>0</v>
      </c>
      <c r="J379" s="254">
        <v>0</v>
      </c>
      <c r="K379" s="255">
        <f t="shared" ref="K379" si="209">J379*F379</f>
        <v>0</v>
      </c>
      <c r="L379" s="256">
        <v>55</v>
      </c>
      <c r="M379" s="257">
        <f t="shared" ref="M379" si="210">L379*K379</f>
        <v>0</v>
      </c>
      <c r="N379" s="250">
        <f t="shared" ref="N379" si="211">M379+I379</f>
        <v>0</v>
      </c>
      <c r="O379" s="251"/>
      <c r="P379" s="18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</row>
    <row r="380" spans="1:77" s="41" customFormat="1" ht="15.75">
      <c r="A380" s="241" t="str">
        <f>IF(F380&lt;&gt;"",1+MAX($A$2:A379),"")</f>
        <v/>
      </c>
      <c r="B380" s="279"/>
      <c r="C380" s="242"/>
      <c r="D380" s="243"/>
      <c r="E380" s="244"/>
      <c r="F380" s="243"/>
      <c r="G380" s="245"/>
      <c r="H380" s="246"/>
      <c r="I380" s="247"/>
      <c r="J380" s="247"/>
      <c r="K380" s="247"/>
      <c r="L380" s="248"/>
      <c r="M380" s="249"/>
      <c r="N380" s="250"/>
      <c r="O380" s="251"/>
      <c r="P380" s="18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</row>
    <row r="381" spans="1:77" s="42" customFormat="1" ht="18.75">
      <c r="A381" s="310" t="s">
        <v>329</v>
      </c>
      <c r="B381" s="311"/>
      <c r="C381" s="311"/>
      <c r="D381" s="311"/>
      <c r="E381" s="311"/>
      <c r="F381" s="311"/>
      <c r="G381" s="311"/>
      <c r="H381" s="311"/>
      <c r="I381" s="311"/>
      <c r="J381" s="311"/>
      <c r="K381" s="311"/>
      <c r="L381" s="311"/>
      <c r="M381" s="311"/>
      <c r="N381" s="311"/>
      <c r="O381" s="311"/>
      <c r="P381" s="240">
        <f>SUM(N382:N1045)</f>
        <v>0.22</v>
      </c>
      <c r="Q381" s="2"/>
      <c r="R381" s="2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</row>
    <row r="382" spans="1:77" s="41" customFormat="1" ht="15.75">
      <c r="A382" s="241" t="str">
        <f>IF(F382&lt;&gt;"",1+MAX($A$2:A381),"")</f>
        <v/>
      </c>
      <c r="B382" s="279"/>
      <c r="C382" s="242"/>
      <c r="D382" s="243"/>
      <c r="E382" s="244"/>
      <c r="F382" s="243"/>
      <c r="G382" s="245"/>
      <c r="H382" s="246"/>
      <c r="I382" s="247"/>
      <c r="J382" s="247"/>
      <c r="K382" s="247"/>
      <c r="L382" s="248"/>
      <c r="M382" s="249"/>
      <c r="N382" s="250"/>
      <c r="O382" s="251"/>
      <c r="P382" s="18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</row>
    <row r="383" spans="1:77" s="41" customFormat="1" ht="15.75" customHeight="1">
      <c r="A383" s="241" t="str">
        <f>IF(F383&lt;&gt;"",1+MAX($A$2:A382),"")</f>
        <v/>
      </c>
      <c r="B383" s="346" t="s">
        <v>856</v>
      </c>
      <c r="C383" s="252" t="s">
        <v>959</v>
      </c>
      <c r="D383" s="243"/>
      <c r="E383" s="244"/>
      <c r="F383" s="243"/>
      <c r="G383" s="245"/>
      <c r="H383" s="246"/>
      <c r="I383" s="247"/>
      <c r="J383" s="247"/>
      <c r="K383" s="247"/>
      <c r="L383" s="248"/>
      <c r="M383" s="249"/>
      <c r="N383" s="250"/>
      <c r="O383" s="251"/>
      <c r="P383" s="18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</row>
    <row r="384" spans="1:77" s="41" customFormat="1" ht="15.75">
      <c r="A384" s="64">
        <f>IF(F384&lt;&gt;"",1+MAX($A$2:A383),"")</f>
        <v>327</v>
      </c>
      <c r="B384" s="313"/>
      <c r="C384" s="253" t="s">
        <v>960</v>
      </c>
      <c r="D384" s="243">
        <v>1162.74</v>
      </c>
      <c r="E384" s="244">
        <v>0.05</v>
      </c>
      <c r="F384" s="243">
        <f t="shared" ref="F384:F391" si="212">(1+E384)*D384</f>
        <v>1220.877</v>
      </c>
      <c r="G384" s="245" t="s">
        <v>25</v>
      </c>
      <c r="H384" s="246">
        <v>0</v>
      </c>
      <c r="I384" s="247">
        <f t="shared" ref="I384:I391" si="213">H384*F384</f>
        <v>0</v>
      </c>
      <c r="J384" s="254">
        <v>0</v>
      </c>
      <c r="K384" s="255">
        <f t="shared" ref="K384:K391" si="214">J384*F384</f>
        <v>0</v>
      </c>
      <c r="L384" s="256">
        <v>55</v>
      </c>
      <c r="M384" s="257">
        <f t="shared" ref="M384:M391" si="215">L384*K384</f>
        <v>0</v>
      </c>
      <c r="N384" s="250">
        <f t="shared" ref="N384:N391" si="216">M384+I384</f>
        <v>0</v>
      </c>
      <c r="O384" s="251"/>
      <c r="P384" s="18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</row>
    <row r="385" spans="1:77" s="41" customFormat="1" ht="15.75">
      <c r="A385" s="64">
        <f>IF(F385&lt;&gt;"",1+MAX($A$2:A384),"")</f>
        <v>328</v>
      </c>
      <c r="B385" s="313"/>
      <c r="C385" s="253" t="s">
        <v>961</v>
      </c>
      <c r="D385" s="243">
        <f>6458.29+11998.4+5318.4</f>
        <v>23775.089999999997</v>
      </c>
      <c r="E385" s="244">
        <v>0.05</v>
      </c>
      <c r="F385" s="243">
        <f t="shared" si="212"/>
        <v>24963.844499999996</v>
      </c>
      <c r="G385" s="245" t="s">
        <v>25</v>
      </c>
      <c r="H385" s="246">
        <v>0</v>
      </c>
      <c r="I385" s="247">
        <f t="shared" si="213"/>
        <v>0</v>
      </c>
      <c r="J385" s="254">
        <v>0</v>
      </c>
      <c r="K385" s="255">
        <f t="shared" si="214"/>
        <v>0</v>
      </c>
      <c r="L385" s="256">
        <v>55</v>
      </c>
      <c r="M385" s="257">
        <f t="shared" si="215"/>
        <v>0</v>
      </c>
      <c r="N385" s="250">
        <f t="shared" si="216"/>
        <v>0</v>
      </c>
      <c r="O385" s="251"/>
      <c r="P385" s="18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</row>
    <row r="386" spans="1:77" s="41" customFormat="1" ht="15.75">
      <c r="A386" s="64">
        <f>IF(F386&lt;&gt;"",1+MAX($A$2:A385),"")</f>
        <v>329</v>
      </c>
      <c r="B386" s="313"/>
      <c r="C386" s="253" t="s">
        <v>962</v>
      </c>
      <c r="D386" s="243">
        <f>349.76+322</f>
        <v>671.76</v>
      </c>
      <c r="E386" s="244">
        <v>0.05</v>
      </c>
      <c r="F386" s="243">
        <f t="shared" si="212"/>
        <v>705.34800000000007</v>
      </c>
      <c r="G386" s="245" t="s">
        <v>25</v>
      </c>
      <c r="H386" s="246">
        <v>0</v>
      </c>
      <c r="I386" s="247">
        <f t="shared" si="213"/>
        <v>0</v>
      </c>
      <c r="J386" s="254">
        <v>0</v>
      </c>
      <c r="K386" s="255">
        <f t="shared" si="214"/>
        <v>0</v>
      </c>
      <c r="L386" s="256">
        <v>55</v>
      </c>
      <c r="M386" s="257">
        <f t="shared" si="215"/>
        <v>0</v>
      </c>
      <c r="N386" s="250">
        <f t="shared" si="216"/>
        <v>0</v>
      </c>
      <c r="O386" s="251"/>
      <c r="P386" s="18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</row>
    <row r="387" spans="1:77" s="41" customFormat="1" ht="15.75">
      <c r="A387" s="64">
        <f>IF(F387&lt;&gt;"",1+MAX($A$2:A386),"")</f>
        <v>330</v>
      </c>
      <c r="B387" s="313"/>
      <c r="C387" s="253" t="s">
        <v>963</v>
      </c>
      <c r="D387" s="243">
        <f>696.35+1979.2+709.6</f>
        <v>3385.15</v>
      </c>
      <c r="E387" s="244">
        <v>0.05</v>
      </c>
      <c r="F387" s="243">
        <f t="shared" si="212"/>
        <v>3554.4075000000003</v>
      </c>
      <c r="G387" s="245" t="s">
        <v>25</v>
      </c>
      <c r="H387" s="246">
        <v>0</v>
      </c>
      <c r="I387" s="247">
        <f t="shared" si="213"/>
        <v>0</v>
      </c>
      <c r="J387" s="254">
        <v>0</v>
      </c>
      <c r="K387" s="255">
        <f t="shared" si="214"/>
        <v>0</v>
      </c>
      <c r="L387" s="256">
        <v>55</v>
      </c>
      <c r="M387" s="257">
        <f t="shared" si="215"/>
        <v>0</v>
      </c>
      <c r="N387" s="250">
        <f t="shared" si="216"/>
        <v>0</v>
      </c>
      <c r="O387" s="251"/>
      <c r="P387" s="18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</row>
    <row r="388" spans="1:77" s="41" customFormat="1" ht="15.75">
      <c r="A388" s="64">
        <f>IF(F388&lt;&gt;"",1+MAX($A$2:A387),"")</f>
        <v>331</v>
      </c>
      <c r="B388" s="313"/>
      <c r="C388" s="253" t="s">
        <v>964</v>
      </c>
      <c r="D388" s="243">
        <f>996.57+1390.4+1250.8</f>
        <v>3637.7700000000004</v>
      </c>
      <c r="E388" s="244">
        <v>0.05</v>
      </c>
      <c r="F388" s="243">
        <f t="shared" si="212"/>
        <v>3819.6585000000005</v>
      </c>
      <c r="G388" s="245" t="s">
        <v>25</v>
      </c>
      <c r="H388" s="246">
        <v>0</v>
      </c>
      <c r="I388" s="247">
        <f t="shared" si="213"/>
        <v>0</v>
      </c>
      <c r="J388" s="254">
        <v>0</v>
      </c>
      <c r="K388" s="255">
        <f t="shared" si="214"/>
        <v>0</v>
      </c>
      <c r="L388" s="256">
        <v>55</v>
      </c>
      <c r="M388" s="257">
        <f t="shared" si="215"/>
        <v>0</v>
      </c>
      <c r="N388" s="250">
        <f t="shared" si="216"/>
        <v>0</v>
      </c>
      <c r="O388" s="251"/>
      <c r="P388" s="18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</row>
    <row r="389" spans="1:77" s="41" customFormat="1" ht="15.75">
      <c r="A389" s="64">
        <f>IF(F389&lt;&gt;"",1+MAX($A$2:A388),"")</f>
        <v>332</v>
      </c>
      <c r="B389" s="313"/>
      <c r="C389" s="253" t="s">
        <v>965</v>
      </c>
      <c r="D389" s="243">
        <f>432.16+705.6+353.6</f>
        <v>1491.3600000000001</v>
      </c>
      <c r="E389" s="244">
        <v>0.05</v>
      </c>
      <c r="F389" s="243">
        <f t="shared" si="212"/>
        <v>1565.9280000000001</v>
      </c>
      <c r="G389" s="245" t="s">
        <v>25</v>
      </c>
      <c r="H389" s="246">
        <v>0</v>
      </c>
      <c r="I389" s="247">
        <f t="shared" si="213"/>
        <v>0</v>
      </c>
      <c r="J389" s="254">
        <v>0</v>
      </c>
      <c r="K389" s="255">
        <f t="shared" si="214"/>
        <v>0</v>
      </c>
      <c r="L389" s="256">
        <v>55</v>
      </c>
      <c r="M389" s="257">
        <f t="shared" si="215"/>
        <v>0</v>
      </c>
      <c r="N389" s="250">
        <f t="shared" si="216"/>
        <v>0</v>
      </c>
      <c r="O389" s="251"/>
      <c r="P389" s="18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</row>
    <row r="390" spans="1:77" s="41" customFormat="1" ht="15.75">
      <c r="A390" s="64">
        <f>IF(F390&lt;&gt;"",1+MAX($A$2:A389),"")</f>
        <v>333</v>
      </c>
      <c r="B390" s="313"/>
      <c r="C390" s="253" t="s">
        <v>966</v>
      </c>
      <c r="D390" s="243">
        <v>3055.48</v>
      </c>
      <c r="E390" s="244">
        <v>0.05</v>
      </c>
      <c r="F390" s="243">
        <f t="shared" si="212"/>
        <v>3208.2540000000004</v>
      </c>
      <c r="G390" s="245" t="s">
        <v>25</v>
      </c>
      <c r="H390" s="246">
        <v>0</v>
      </c>
      <c r="I390" s="247">
        <f t="shared" si="213"/>
        <v>0</v>
      </c>
      <c r="J390" s="254">
        <v>0</v>
      </c>
      <c r="K390" s="255">
        <f t="shared" si="214"/>
        <v>0</v>
      </c>
      <c r="L390" s="256">
        <v>55</v>
      </c>
      <c r="M390" s="257">
        <f t="shared" si="215"/>
        <v>0</v>
      </c>
      <c r="N390" s="250">
        <f t="shared" si="216"/>
        <v>0</v>
      </c>
      <c r="O390" s="251"/>
      <c r="P390" s="18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</row>
    <row r="391" spans="1:77" s="41" customFormat="1" ht="15.75">
      <c r="A391" s="64">
        <f>IF(F391&lt;&gt;"",1+MAX($A$2:A390),"")</f>
        <v>334</v>
      </c>
      <c r="B391" s="313"/>
      <c r="C391" s="253" t="s">
        <v>967</v>
      </c>
      <c r="D391" s="243">
        <v>32632.5</v>
      </c>
      <c r="E391" s="244">
        <v>0.05</v>
      </c>
      <c r="F391" s="243">
        <f t="shared" si="212"/>
        <v>34264.125</v>
      </c>
      <c r="G391" s="245" t="s">
        <v>25</v>
      </c>
      <c r="H391" s="246">
        <v>0</v>
      </c>
      <c r="I391" s="247">
        <f t="shared" si="213"/>
        <v>0</v>
      </c>
      <c r="J391" s="254">
        <v>0</v>
      </c>
      <c r="K391" s="255">
        <f t="shared" si="214"/>
        <v>0</v>
      </c>
      <c r="L391" s="256">
        <v>55</v>
      </c>
      <c r="M391" s="257">
        <f t="shared" si="215"/>
        <v>0</v>
      </c>
      <c r="N391" s="250">
        <f t="shared" si="216"/>
        <v>0</v>
      </c>
      <c r="O391" s="251"/>
      <c r="P391" s="18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</row>
    <row r="392" spans="1:77" s="41" customFormat="1" ht="15.75">
      <c r="A392" s="64" t="str">
        <f>IF(F392&lt;&gt;"",1+MAX($A$2:A391),"")</f>
        <v/>
      </c>
      <c r="B392" s="313"/>
      <c r="C392" s="252" t="s">
        <v>968</v>
      </c>
      <c r="D392" s="243"/>
      <c r="E392" s="244"/>
      <c r="F392" s="243"/>
      <c r="G392" s="245"/>
      <c r="H392" s="246"/>
      <c r="I392" s="247"/>
      <c r="J392" s="247"/>
      <c r="K392" s="247"/>
      <c r="L392" s="256"/>
      <c r="M392" s="249"/>
      <c r="N392" s="250"/>
      <c r="O392" s="251"/>
      <c r="P392" s="18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</row>
    <row r="393" spans="1:77" s="41" customFormat="1" ht="15.75">
      <c r="A393" s="64">
        <f>IF(F393&lt;&gt;"",1+MAX($A$2:A392),"")</f>
        <v>335</v>
      </c>
      <c r="B393" s="313"/>
      <c r="C393" s="253" t="s">
        <v>969</v>
      </c>
      <c r="D393" s="243">
        <v>8.59</v>
      </c>
      <c r="E393" s="244">
        <v>0.05</v>
      </c>
      <c r="F393" s="243">
        <f t="shared" ref="F393:F404" si="217">(1+E393)*D393</f>
        <v>9.0195000000000007</v>
      </c>
      <c r="G393" s="245" t="s">
        <v>13</v>
      </c>
      <c r="H393" s="246">
        <v>0</v>
      </c>
      <c r="I393" s="247">
        <f t="shared" ref="I393:I404" si="218">H393*F393</f>
        <v>0</v>
      </c>
      <c r="J393" s="254">
        <v>0</v>
      </c>
      <c r="K393" s="255">
        <f t="shared" ref="K393:K404" si="219">J393*F393</f>
        <v>0</v>
      </c>
      <c r="L393" s="256">
        <v>55</v>
      </c>
      <c r="M393" s="257">
        <f t="shared" ref="M393:M404" si="220">L393*K393</f>
        <v>0</v>
      </c>
      <c r="N393" s="250">
        <f t="shared" ref="N393:N404" si="221">M393+I393</f>
        <v>0</v>
      </c>
      <c r="O393" s="251"/>
      <c r="P393" s="18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</row>
    <row r="394" spans="1:77" s="41" customFormat="1" ht="15.75">
      <c r="A394" s="64">
        <f>IF(F394&lt;&gt;"",1+MAX($A$2:A393),"")</f>
        <v>336</v>
      </c>
      <c r="B394" s="313"/>
      <c r="C394" s="253" t="s">
        <v>970</v>
      </c>
      <c r="D394" s="243">
        <v>5.91</v>
      </c>
      <c r="E394" s="244">
        <v>0.05</v>
      </c>
      <c r="F394" s="243">
        <f t="shared" si="217"/>
        <v>6.2055000000000007</v>
      </c>
      <c r="G394" s="245" t="s">
        <v>13</v>
      </c>
      <c r="H394" s="246">
        <v>0</v>
      </c>
      <c r="I394" s="247">
        <f t="shared" si="218"/>
        <v>0</v>
      </c>
      <c r="J394" s="254">
        <v>0</v>
      </c>
      <c r="K394" s="255">
        <f t="shared" si="219"/>
        <v>0</v>
      </c>
      <c r="L394" s="256">
        <v>55</v>
      </c>
      <c r="M394" s="257">
        <f t="shared" si="220"/>
        <v>0</v>
      </c>
      <c r="N394" s="250">
        <f t="shared" si="221"/>
        <v>0</v>
      </c>
      <c r="O394" s="251"/>
      <c r="P394" s="18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</row>
    <row r="395" spans="1:77" s="41" customFormat="1" ht="15.75">
      <c r="A395" s="64">
        <f>IF(F395&lt;&gt;"",1+MAX($A$2:A394),"")</f>
        <v>337</v>
      </c>
      <c r="B395" s="313"/>
      <c r="C395" s="253" t="s">
        <v>971</v>
      </c>
      <c r="D395" s="243">
        <f>23.14+90.4+22.8</f>
        <v>136.34</v>
      </c>
      <c r="E395" s="244">
        <v>0.05</v>
      </c>
      <c r="F395" s="243">
        <f t="shared" si="217"/>
        <v>143.15700000000001</v>
      </c>
      <c r="G395" s="245" t="s">
        <v>13</v>
      </c>
      <c r="H395" s="246">
        <v>0</v>
      </c>
      <c r="I395" s="247">
        <f t="shared" si="218"/>
        <v>0</v>
      </c>
      <c r="J395" s="254">
        <v>0</v>
      </c>
      <c r="K395" s="255">
        <f t="shared" si="219"/>
        <v>0</v>
      </c>
      <c r="L395" s="256">
        <v>55</v>
      </c>
      <c r="M395" s="257">
        <f t="shared" si="220"/>
        <v>0</v>
      </c>
      <c r="N395" s="250">
        <f t="shared" si="221"/>
        <v>0</v>
      </c>
      <c r="O395" s="251"/>
      <c r="P395" s="18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</row>
    <row r="396" spans="1:77" s="41" customFormat="1" ht="15.75">
      <c r="A396" s="64">
        <f>IF(F396&lt;&gt;"",1+MAX($A$2:A395),"")</f>
        <v>338</v>
      </c>
      <c r="B396" s="313"/>
      <c r="C396" s="253" t="s">
        <v>972</v>
      </c>
      <c r="D396" s="243">
        <f>65.2+47.2+95.6</f>
        <v>208</v>
      </c>
      <c r="E396" s="244">
        <v>0.05</v>
      </c>
      <c r="F396" s="243">
        <f t="shared" si="217"/>
        <v>218.4</v>
      </c>
      <c r="G396" s="245" t="s">
        <v>13</v>
      </c>
      <c r="H396" s="246">
        <v>0</v>
      </c>
      <c r="I396" s="247">
        <f t="shared" si="218"/>
        <v>0</v>
      </c>
      <c r="J396" s="254">
        <v>0</v>
      </c>
      <c r="K396" s="255">
        <f t="shared" si="219"/>
        <v>0</v>
      </c>
      <c r="L396" s="256">
        <v>55</v>
      </c>
      <c r="M396" s="257">
        <f t="shared" si="220"/>
        <v>0</v>
      </c>
      <c r="N396" s="250">
        <f t="shared" si="221"/>
        <v>0</v>
      </c>
      <c r="O396" s="251"/>
      <c r="P396" s="18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</row>
    <row r="397" spans="1:77" s="41" customFormat="1" ht="15.75">
      <c r="A397" s="64">
        <f>IF(F397&lt;&gt;"",1+MAX($A$2:A396),"")</f>
        <v>339</v>
      </c>
      <c r="B397" s="313"/>
      <c r="C397" s="253" t="s">
        <v>973</v>
      </c>
      <c r="D397" s="243">
        <f>5.77+12</f>
        <v>17.77</v>
      </c>
      <c r="E397" s="244">
        <v>0.05</v>
      </c>
      <c r="F397" s="243">
        <f t="shared" si="217"/>
        <v>18.6585</v>
      </c>
      <c r="G397" s="245" t="s">
        <v>13</v>
      </c>
      <c r="H397" s="246">
        <v>0</v>
      </c>
      <c r="I397" s="247">
        <f t="shared" si="218"/>
        <v>0</v>
      </c>
      <c r="J397" s="254">
        <v>0</v>
      </c>
      <c r="K397" s="255">
        <f t="shared" si="219"/>
        <v>0</v>
      </c>
      <c r="L397" s="256">
        <v>55</v>
      </c>
      <c r="M397" s="257">
        <f t="shared" si="220"/>
        <v>0</v>
      </c>
      <c r="N397" s="250">
        <f t="shared" si="221"/>
        <v>0</v>
      </c>
      <c r="O397" s="251"/>
      <c r="P397" s="18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</row>
    <row r="398" spans="1:77" s="41" customFormat="1" ht="15.75">
      <c r="A398" s="64">
        <f>IF(F398&lt;&gt;"",1+MAX($A$2:A397),"")</f>
        <v>340</v>
      </c>
      <c r="B398" s="313"/>
      <c r="C398" s="253" t="s">
        <v>974</v>
      </c>
      <c r="D398" s="243">
        <f>8.44+11.2</f>
        <v>19.64</v>
      </c>
      <c r="E398" s="244">
        <v>0.05</v>
      </c>
      <c r="F398" s="243">
        <f t="shared" si="217"/>
        <v>20.622</v>
      </c>
      <c r="G398" s="245" t="s">
        <v>13</v>
      </c>
      <c r="H398" s="246">
        <v>0</v>
      </c>
      <c r="I398" s="247">
        <f t="shared" si="218"/>
        <v>0</v>
      </c>
      <c r="J398" s="254">
        <v>0</v>
      </c>
      <c r="K398" s="255">
        <f t="shared" si="219"/>
        <v>0</v>
      </c>
      <c r="L398" s="256">
        <v>55</v>
      </c>
      <c r="M398" s="257">
        <f t="shared" si="220"/>
        <v>0</v>
      </c>
      <c r="N398" s="250">
        <f t="shared" si="221"/>
        <v>0</v>
      </c>
      <c r="O398" s="251"/>
      <c r="P398" s="18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</row>
    <row r="399" spans="1:77" s="41" customFormat="1" ht="15.75">
      <c r="A399" s="64">
        <f>IF(F399&lt;&gt;"",1+MAX($A$2:A398),"")</f>
        <v>341</v>
      </c>
      <c r="B399" s="313"/>
      <c r="C399" s="253" t="s">
        <v>975</v>
      </c>
      <c r="D399" s="243">
        <f>1396.11+3108.8+1192.8</f>
        <v>5697.71</v>
      </c>
      <c r="E399" s="244">
        <v>0.05</v>
      </c>
      <c r="F399" s="243">
        <f t="shared" si="217"/>
        <v>5982.5955000000004</v>
      </c>
      <c r="G399" s="245" t="s">
        <v>13</v>
      </c>
      <c r="H399" s="246">
        <v>0</v>
      </c>
      <c r="I399" s="247">
        <f t="shared" si="218"/>
        <v>0</v>
      </c>
      <c r="J399" s="254">
        <v>0</v>
      </c>
      <c r="K399" s="255">
        <f t="shared" si="219"/>
        <v>0</v>
      </c>
      <c r="L399" s="256">
        <v>55</v>
      </c>
      <c r="M399" s="257">
        <f t="shared" si="220"/>
        <v>0</v>
      </c>
      <c r="N399" s="250">
        <f t="shared" si="221"/>
        <v>0</v>
      </c>
      <c r="O399" s="251"/>
      <c r="P399" s="18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</row>
    <row r="400" spans="1:77" s="41" customFormat="1" ht="15.75">
      <c r="A400" s="64">
        <f>IF(F400&lt;&gt;"",1+MAX($A$2:A399),"")</f>
        <v>342</v>
      </c>
      <c r="B400" s="313"/>
      <c r="C400" s="253" t="s">
        <v>976</v>
      </c>
      <c r="D400" s="243">
        <f>169.91+182</f>
        <v>351.90999999999997</v>
      </c>
      <c r="E400" s="244">
        <v>0.05</v>
      </c>
      <c r="F400" s="243">
        <f t="shared" si="217"/>
        <v>369.50549999999998</v>
      </c>
      <c r="G400" s="245" t="s">
        <v>13</v>
      </c>
      <c r="H400" s="246">
        <v>0</v>
      </c>
      <c r="I400" s="247">
        <f t="shared" si="218"/>
        <v>0</v>
      </c>
      <c r="J400" s="254">
        <v>0</v>
      </c>
      <c r="K400" s="255">
        <f t="shared" si="219"/>
        <v>0</v>
      </c>
      <c r="L400" s="256">
        <v>55</v>
      </c>
      <c r="M400" s="257">
        <f t="shared" si="220"/>
        <v>0</v>
      </c>
      <c r="N400" s="250">
        <f t="shared" si="221"/>
        <v>0</v>
      </c>
      <c r="O400" s="251"/>
      <c r="P400" s="18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</row>
    <row r="401" spans="1:77" s="41" customFormat="1" ht="15.75">
      <c r="A401" s="64">
        <f>IF(F401&lt;&gt;"",1+MAX($A$2:A400),"")</f>
        <v>343</v>
      </c>
      <c r="B401" s="313"/>
      <c r="C401" s="253" t="s">
        <v>977</v>
      </c>
      <c r="D401" s="243">
        <f>396.77+660+484</f>
        <v>1540.77</v>
      </c>
      <c r="E401" s="244">
        <v>0.05</v>
      </c>
      <c r="F401" s="243">
        <f t="shared" si="217"/>
        <v>1617.8085000000001</v>
      </c>
      <c r="G401" s="245" t="s">
        <v>13</v>
      </c>
      <c r="H401" s="246">
        <v>0</v>
      </c>
      <c r="I401" s="247">
        <f t="shared" si="218"/>
        <v>0</v>
      </c>
      <c r="J401" s="254">
        <v>0</v>
      </c>
      <c r="K401" s="255">
        <f t="shared" si="219"/>
        <v>0</v>
      </c>
      <c r="L401" s="256">
        <v>55</v>
      </c>
      <c r="M401" s="257">
        <f t="shared" si="220"/>
        <v>0</v>
      </c>
      <c r="N401" s="250">
        <f t="shared" si="221"/>
        <v>0</v>
      </c>
      <c r="O401" s="251"/>
      <c r="P401" s="18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</row>
    <row r="402" spans="1:77" s="41" customFormat="1" ht="15.75">
      <c r="A402" s="64">
        <f>IF(F402&lt;&gt;"",1+MAX($A$2:A401),"")</f>
        <v>344</v>
      </c>
      <c r="B402" s="313"/>
      <c r="C402" s="253" t="s">
        <v>978</v>
      </c>
      <c r="D402" s="243">
        <f>365.98+1112+379.2</f>
        <v>1857.18</v>
      </c>
      <c r="E402" s="244">
        <v>0.05</v>
      </c>
      <c r="F402" s="243">
        <f t="shared" si="217"/>
        <v>1950.0390000000002</v>
      </c>
      <c r="G402" s="245" t="s">
        <v>13</v>
      </c>
      <c r="H402" s="246">
        <v>0</v>
      </c>
      <c r="I402" s="247">
        <f t="shared" si="218"/>
        <v>0</v>
      </c>
      <c r="J402" s="254">
        <v>0</v>
      </c>
      <c r="K402" s="255">
        <f t="shared" si="219"/>
        <v>0</v>
      </c>
      <c r="L402" s="256">
        <v>55</v>
      </c>
      <c r="M402" s="257">
        <f t="shared" si="220"/>
        <v>0</v>
      </c>
      <c r="N402" s="250">
        <f t="shared" si="221"/>
        <v>0</v>
      </c>
      <c r="O402" s="251"/>
      <c r="P402" s="18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</row>
    <row r="403" spans="1:77" s="41" customFormat="1" ht="15.75">
      <c r="A403" s="64">
        <f>IF(F403&lt;&gt;"",1+MAX($A$2:A402),"")</f>
        <v>345</v>
      </c>
      <c r="B403" s="313"/>
      <c r="C403" s="253" t="s">
        <v>979</v>
      </c>
      <c r="D403" s="243">
        <v>11791.46</v>
      </c>
      <c r="E403" s="244">
        <v>0.05</v>
      </c>
      <c r="F403" s="243">
        <f t="shared" si="217"/>
        <v>12381.032999999999</v>
      </c>
      <c r="G403" s="245" t="s">
        <v>13</v>
      </c>
      <c r="H403" s="246">
        <v>0</v>
      </c>
      <c r="I403" s="247">
        <f t="shared" si="218"/>
        <v>0</v>
      </c>
      <c r="J403" s="254">
        <v>0</v>
      </c>
      <c r="K403" s="255">
        <f t="shared" si="219"/>
        <v>0</v>
      </c>
      <c r="L403" s="256">
        <v>55</v>
      </c>
      <c r="M403" s="257">
        <f t="shared" si="220"/>
        <v>0</v>
      </c>
      <c r="N403" s="250">
        <f t="shared" si="221"/>
        <v>0</v>
      </c>
      <c r="O403" s="251"/>
      <c r="P403" s="18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</row>
    <row r="404" spans="1:77" s="41" customFormat="1" ht="15.75">
      <c r="A404" s="64">
        <f>IF(F404&lt;&gt;"",1+MAX($A$2:A403),"")</f>
        <v>346</v>
      </c>
      <c r="B404" s="313"/>
      <c r="C404" s="253" t="s">
        <v>980</v>
      </c>
      <c r="D404" s="243">
        <v>4127.5</v>
      </c>
      <c r="E404" s="244">
        <v>0.05</v>
      </c>
      <c r="F404" s="243">
        <f t="shared" si="217"/>
        <v>4333.875</v>
      </c>
      <c r="G404" s="245" t="s">
        <v>13</v>
      </c>
      <c r="H404" s="246">
        <v>0</v>
      </c>
      <c r="I404" s="247">
        <f t="shared" si="218"/>
        <v>0</v>
      </c>
      <c r="J404" s="254">
        <v>0</v>
      </c>
      <c r="K404" s="255">
        <f t="shared" si="219"/>
        <v>0</v>
      </c>
      <c r="L404" s="256">
        <v>55</v>
      </c>
      <c r="M404" s="257">
        <f t="shared" si="220"/>
        <v>0</v>
      </c>
      <c r="N404" s="250">
        <f t="shared" si="221"/>
        <v>0</v>
      </c>
      <c r="O404" s="251"/>
      <c r="P404" s="18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</row>
    <row r="405" spans="1:77" s="41" customFormat="1" ht="15.75" customHeight="1">
      <c r="A405" s="64" t="str">
        <f>IF(F405&lt;&gt;"",1+MAX($A$2:A404),"")</f>
        <v/>
      </c>
      <c r="B405" s="313"/>
      <c r="C405" s="252" t="s">
        <v>330</v>
      </c>
      <c r="D405" s="243"/>
      <c r="E405" s="244"/>
      <c r="F405" s="243"/>
      <c r="G405" s="245"/>
      <c r="H405" s="246"/>
      <c r="I405" s="247"/>
      <c r="J405" s="247"/>
      <c r="K405" s="247"/>
      <c r="L405" s="248"/>
      <c r="M405" s="249"/>
      <c r="N405" s="250"/>
      <c r="O405" s="251"/>
      <c r="P405" s="18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</row>
    <row r="406" spans="1:77" s="41" customFormat="1" ht="15.75">
      <c r="A406" s="64">
        <f>IF(F406&lt;&gt;"",1+MAX($A$2:A405),"")</f>
        <v>347</v>
      </c>
      <c r="B406" s="313"/>
      <c r="C406" s="253" t="s">
        <v>331</v>
      </c>
      <c r="D406" s="243">
        <f>((((83.21)*9)+((47.93+79.58*8+8.72+12.69+18.66*8+14.14+14.08*8+9.41*8)*9.67)+((29.74+14.3+14.29+20.89)*9.83)+((69.84)*10)+((49.43*4+6.06*4+12.74*4+14.46*4)*10.17)+((58.41+13.46+13.95)*10.25)+((41.46+14.25+14.39)*11.33)+((12.6+13.41+14.58)*11.83))*2*2)-D413-D414+((10.53*8*9.67*2*2)+(7.88*9.83*2*2)+(4.41*11.33*2*2))</f>
        <v>44890.972599999986</v>
      </c>
      <c r="E406" s="244">
        <v>0.05</v>
      </c>
      <c r="F406" s="243">
        <f t="shared" ref="F406:F414" si="222">(1+E406)*D406</f>
        <v>47135.521229999991</v>
      </c>
      <c r="G406" s="245" t="s">
        <v>25</v>
      </c>
      <c r="H406" s="246">
        <v>0</v>
      </c>
      <c r="I406" s="247">
        <f t="shared" ref="I406:I415" si="223">H406*F406</f>
        <v>0</v>
      </c>
      <c r="J406" s="254">
        <v>0</v>
      </c>
      <c r="K406" s="255">
        <f t="shared" ref="K406:K415" si="224">J406*F406</f>
        <v>0</v>
      </c>
      <c r="L406" s="256">
        <v>55</v>
      </c>
      <c r="M406" s="257">
        <f t="shared" ref="M406:M415" si="225">L406*K406</f>
        <v>0</v>
      </c>
      <c r="N406" s="250">
        <f t="shared" ref="N406:N415" si="226">M406+I406</f>
        <v>0</v>
      </c>
      <c r="O406" s="251"/>
      <c r="P406" s="18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</row>
    <row r="407" spans="1:77" s="41" customFormat="1" ht="15.75">
      <c r="A407" s="64">
        <f>IF(F407&lt;&gt;"",1+MAX($A$2:A406),"")</f>
        <v>348</v>
      </c>
      <c r="B407" s="313"/>
      <c r="C407" s="253" t="s">
        <v>332</v>
      </c>
      <c r="D407" s="243">
        <f>((((67.58+9.74)*8.17)+((56.27)*9)+((131.15+60.39*8+5.81+5.75*8+9.33+21.84+4.39*8)*9.67)+((124.27+7.78)*9.83)+((112.25*4+5.75*4+17.43*4+18.15*4)*10.17)+((66.79+12.5)*10.25)+((14.26)*11.17)+((67.6+8.28)*11.33)+((23.21)*11.83))*2)</f>
        <v>35744.279199999997</v>
      </c>
      <c r="E407" s="244">
        <v>0.05</v>
      </c>
      <c r="F407" s="243">
        <f t="shared" si="222"/>
        <v>37531.493159999998</v>
      </c>
      <c r="G407" s="245" t="s">
        <v>25</v>
      </c>
      <c r="H407" s="246">
        <v>0</v>
      </c>
      <c r="I407" s="247">
        <f t="shared" si="223"/>
        <v>0</v>
      </c>
      <c r="J407" s="254">
        <v>0</v>
      </c>
      <c r="K407" s="255">
        <f t="shared" si="224"/>
        <v>0</v>
      </c>
      <c r="L407" s="256">
        <v>55</v>
      </c>
      <c r="M407" s="257">
        <f t="shared" si="225"/>
        <v>0</v>
      </c>
      <c r="N407" s="250">
        <f t="shared" si="226"/>
        <v>0</v>
      </c>
      <c r="O407" s="251"/>
      <c r="P407" s="18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</row>
    <row r="408" spans="1:77" s="41" customFormat="1" ht="15.75">
      <c r="A408" s="64">
        <f>IF(F408&lt;&gt;"",1+MAX($A$2:A407),"")</f>
        <v>349</v>
      </c>
      <c r="B408" s="313"/>
      <c r="C408" s="253" t="s">
        <v>333</v>
      </c>
      <c r="D408" s="243">
        <f>((((35.19+66.09*8+41.07+46.89*8)*9.67)+((11.43+50.7)*9.83)+((11.87*4+49.32*4)*10.17)+((28.3)*10.25)+((25.13+38.05)*11.33)+((31.14)*11.83))*2)</f>
        <v>27903.609400000005</v>
      </c>
      <c r="E408" s="244">
        <v>0.05</v>
      </c>
      <c r="F408" s="243">
        <f t="shared" si="222"/>
        <v>29298.789870000008</v>
      </c>
      <c r="G408" s="245" t="s">
        <v>25</v>
      </c>
      <c r="H408" s="246">
        <v>0</v>
      </c>
      <c r="I408" s="247">
        <f t="shared" si="223"/>
        <v>0</v>
      </c>
      <c r="J408" s="254">
        <v>0</v>
      </c>
      <c r="K408" s="255">
        <f t="shared" si="224"/>
        <v>0</v>
      </c>
      <c r="L408" s="256">
        <v>55</v>
      </c>
      <c r="M408" s="257">
        <f t="shared" si="225"/>
        <v>0</v>
      </c>
      <c r="N408" s="250">
        <f t="shared" si="226"/>
        <v>0</v>
      </c>
      <c r="O408" s="251"/>
      <c r="P408" s="18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</row>
    <row r="409" spans="1:77" s="41" customFormat="1" ht="15.75">
      <c r="A409" s="64">
        <f>IF(F409&lt;&gt;"",1+MAX($A$2:A408),"")</f>
        <v>350</v>
      </c>
      <c r="B409" s="313"/>
      <c r="C409" s="253" t="s">
        <v>334</v>
      </c>
      <c r="D409" s="243">
        <f>((35.19+66.09*8+14.16+13.08*8+96.96+96.63*8+21.38+29.53*8)*9.67)+((11.43+27.73+70.97+18.98)*9.83)+((11.87*4+23.68*4+87.21*4+17.48*4)*10.17)+((8.28+99.15+20.81)*10.25)+((25.13+28.2+62.25+19.7)*11.33)+((3.71+91.75+19.01)*11.83)</f>
        <v>28681.3681</v>
      </c>
      <c r="E409" s="244">
        <v>0.05</v>
      </c>
      <c r="F409" s="243">
        <f t="shared" si="222"/>
        <v>30115.436505000001</v>
      </c>
      <c r="G409" s="245" t="s">
        <v>25</v>
      </c>
      <c r="H409" s="246">
        <v>0</v>
      </c>
      <c r="I409" s="247">
        <f t="shared" si="223"/>
        <v>0</v>
      </c>
      <c r="J409" s="254">
        <v>0</v>
      </c>
      <c r="K409" s="255">
        <f t="shared" si="224"/>
        <v>0</v>
      </c>
      <c r="L409" s="256">
        <v>55</v>
      </c>
      <c r="M409" s="257">
        <f t="shared" si="225"/>
        <v>0</v>
      </c>
      <c r="N409" s="250">
        <f t="shared" si="226"/>
        <v>0</v>
      </c>
      <c r="O409" s="251"/>
      <c r="P409" s="18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</row>
    <row r="410" spans="1:77" s="41" customFormat="1" ht="15.75">
      <c r="A410" s="64">
        <f>IF(F410&lt;&gt;"",1+MAX($A$2:A409),"")</f>
        <v>351</v>
      </c>
      <c r="B410" s="313"/>
      <c r="C410" s="253" t="s">
        <v>335</v>
      </c>
      <c r="D410" s="243">
        <f>((78.94+76.46*8)*9.67)+(87.87*9.83)+((72.82*4)*10.17)+(74.7*10.25)+(54.36*11.33)+(88.55*11.83)</f>
        <v>12933.4954</v>
      </c>
      <c r="E410" s="244">
        <v>0.05</v>
      </c>
      <c r="F410" s="243">
        <f t="shared" si="222"/>
        <v>13580.170170000001</v>
      </c>
      <c r="G410" s="245" t="s">
        <v>25</v>
      </c>
      <c r="H410" s="246">
        <v>0</v>
      </c>
      <c r="I410" s="247">
        <f t="shared" si="223"/>
        <v>0</v>
      </c>
      <c r="J410" s="254">
        <v>0</v>
      </c>
      <c r="K410" s="255">
        <f t="shared" si="224"/>
        <v>0</v>
      </c>
      <c r="L410" s="256">
        <v>55</v>
      </c>
      <c r="M410" s="257">
        <f t="shared" si="225"/>
        <v>0</v>
      </c>
      <c r="N410" s="250">
        <f t="shared" si="226"/>
        <v>0</v>
      </c>
      <c r="O410" s="251"/>
      <c r="P410" s="18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</row>
    <row r="411" spans="1:77" s="41" customFormat="1" ht="15.75">
      <c r="A411" s="64">
        <f>IF(F411&lt;&gt;"",1+MAX($A$2:A410),"")</f>
        <v>352</v>
      </c>
      <c r="B411" s="313"/>
      <c r="C411" s="253" t="s">
        <v>336</v>
      </c>
      <c r="D411" s="243">
        <f>((78.94+76.46*8)*9.67)+(87.87*9.83)+((72.82*4)*10.17)+(74.7*10.25)+(54.36*11.33)+(88.55*11.83)</f>
        <v>12933.4954</v>
      </c>
      <c r="E411" s="244">
        <v>0.05</v>
      </c>
      <c r="F411" s="243">
        <f t="shared" si="222"/>
        <v>13580.170170000001</v>
      </c>
      <c r="G411" s="245" t="s">
        <v>25</v>
      </c>
      <c r="H411" s="246">
        <v>0</v>
      </c>
      <c r="I411" s="247">
        <f t="shared" si="223"/>
        <v>0</v>
      </c>
      <c r="J411" s="254">
        <v>0</v>
      </c>
      <c r="K411" s="255">
        <f t="shared" si="224"/>
        <v>0</v>
      </c>
      <c r="L411" s="256">
        <v>55</v>
      </c>
      <c r="M411" s="257">
        <f t="shared" si="225"/>
        <v>0</v>
      </c>
      <c r="N411" s="250">
        <f t="shared" si="226"/>
        <v>0</v>
      </c>
      <c r="O411" s="251"/>
      <c r="P411" s="18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</row>
    <row r="412" spans="1:77" s="41" customFormat="1" ht="15.75">
      <c r="A412" s="64">
        <f>IF(F412&lt;&gt;"",1+MAX($A$2:A411),"")</f>
        <v>353</v>
      </c>
      <c r="B412" s="313"/>
      <c r="C412" s="253" t="s">
        <v>337</v>
      </c>
      <c r="D412" s="243">
        <f>((41.07+46.89*8)*9.67)+(50.7*9.83)+((49.32*4)*10.17)+(28.3*10.25)+(38.05*11.33)+(31.14*11.83)</f>
        <v>7618.8435999999992</v>
      </c>
      <c r="E412" s="244">
        <v>0.05</v>
      </c>
      <c r="F412" s="243">
        <f t="shared" si="222"/>
        <v>7999.7857799999992</v>
      </c>
      <c r="G412" s="245" t="s">
        <v>25</v>
      </c>
      <c r="H412" s="246">
        <v>0</v>
      </c>
      <c r="I412" s="247">
        <f t="shared" si="223"/>
        <v>0</v>
      </c>
      <c r="J412" s="254">
        <v>0</v>
      </c>
      <c r="K412" s="255">
        <f t="shared" si="224"/>
        <v>0</v>
      </c>
      <c r="L412" s="256">
        <v>55</v>
      </c>
      <c r="M412" s="257">
        <f t="shared" si="225"/>
        <v>0</v>
      </c>
      <c r="N412" s="250">
        <f t="shared" si="226"/>
        <v>0</v>
      </c>
      <c r="O412" s="251"/>
      <c r="P412" s="18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</row>
    <row r="413" spans="1:77" s="2" customFormat="1" ht="15.75">
      <c r="A413" s="64">
        <f>IF(F413&lt;&gt;"",1+MAX($A$2:A412),"")</f>
        <v>354</v>
      </c>
      <c r="B413" s="313"/>
      <c r="C413" s="253" t="s">
        <v>338</v>
      </c>
      <c r="D413" s="243">
        <f>(24.64*8.17)+(23.96*9)+((240.17+196.54*8)*9.67)+(234.02*9.83)+((198.72*4)*10.17)+(43.52*10.25)+(136.62*11.33)+(36.17*11.83)-D414</f>
        <v>20750.849000000002</v>
      </c>
      <c r="E413" s="244">
        <v>0.05</v>
      </c>
      <c r="F413" s="243">
        <f t="shared" si="222"/>
        <v>21788.391450000003</v>
      </c>
      <c r="G413" s="245" t="s">
        <v>25</v>
      </c>
      <c r="H413" s="246">
        <v>0</v>
      </c>
      <c r="I413" s="247">
        <f t="shared" si="223"/>
        <v>0</v>
      </c>
      <c r="J413" s="254">
        <v>0</v>
      </c>
      <c r="K413" s="255">
        <f t="shared" si="224"/>
        <v>0</v>
      </c>
      <c r="L413" s="256">
        <v>55</v>
      </c>
      <c r="M413" s="257">
        <f t="shared" si="225"/>
        <v>0</v>
      </c>
      <c r="N413" s="250">
        <f t="shared" si="226"/>
        <v>0</v>
      </c>
      <c r="O413" s="251"/>
      <c r="P413" s="18"/>
    </row>
    <row r="414" spans="1:77" s="2" customFormat="1" ht="15.75">
      <c r="A414" s="64">
        <f>IF(F414&lt;&gt;"",1+MAX($A$2:A413),"")</f>
        <v>355</v>
      </c>
      <c r="B414" s="313"/>
      <c r="C414" s="253" t="s">
        <v>339</v>
      </c>
      <c r="D414" s="243">
        <f>(1999.82*5)</f>
        <v>9999.1</v>
      </c>
      <c r="E414" s="244">
        <v>0.05</v>
      </c>
      <c r="F414" s="243">
        <f t="shared" si="222"/>
        <v>10499.055</v>
      </c>
      <c r="G414" s="245" t="s">
        <v>25</v>
      </c>
      <c r="H414" s="246">
        <v>0</v>
      </c>
      <c r="I414" s="247">
        <f t="shared" si="223"/>
        <v>0</v>
      </c>
      <c r="J414" s="254">
        <v>0</v>
      </c>
      <c r="K414" s="255">
        <f t="shared" si="224"/>
        <v>0</v>
      </c>
      <c r="L414" s="256">
        <v>55</v>
      </c>
      <c r="M414" s="257">
        <f t="shared" si="225"/>
        <v>0</v>
      </c>
      <c r="N414" s="250">
        <f t="shared" si="226"/>
        <v>0</v>
      </c>
      <c r="O414" s="251"/>
      <c r="P414" s="18"/>
    </row>
    <row r="415" spans="1:77" s="41" customFormat="1" ht="15.75">
      <c r="A415" s="64">
        <f>IF(F415&lt;&gt;"",1+MAX($A$2:A414),"")</f>
        <v>356</v>
      </c>
      <c r="B415" s="313"/>
      <c r="C415" s="253" t="s">
        <v>340</v>
      </c>
      <c r="D415" s="243">
        <f>((83.21+47.93+79.58*8+8.72+12.69+18.66*8+14.14+14.08*8+9.41*8+29.74+14.3+14.29+20.89+69.84+49.43*4+6.06*4+12.74*4+14.46*4+58.41+13.46+13.95+41.46+14.25+14.39+12.6+13.41+14.58+67.58+9.74+56.27+131.15+60.39*8+5.81+5.75*8+9.33+21.84+4.39*8+124.27+7.78+112.25*4+5.75*4+17.43*4+18.15*4+66.79+12.5+14.26+67.6+8.28+23.21+10.53*8+7.88+4.41)*4)+((35.19+66.09*8+41.07+46.89*8+11.43+50.7+11.87*4+49.32*4+28.3+25.13+38.05+31.14+35.19+66.09*8+14.16+13.08*8+96.96+96.63*8+21.38+29.53*8+11.43+27.73+70.97+18.98+11.87*4+23.68*4+87.21*4+17.48*4+8.28+99.15+20.81+25.13+28.2+62.25+19.7+3.71+91.75+19.01+78.94+76.46*8+87.87+72.82*4+74.7+54.36+88.55)*2)</f>
        <v>26024.199999999997</v>
      </c>
      <c r="E415" s="244">
        <v>0.05</v>
      </c>
      <c r="F415" s="243">
        <f>(1+E415)*D415</f>
        <v>27325.41</v>
      </c>
      <c r="G415" s="245" t="s">
        <v>13</v>
      </c>
      <c r="H415" s="246">
        <v>0</v>
      </c>
      <c r="I415" s="247">
        <f t="shared" si="223"/>
        <v>0</v>
      </c>
      <c r="J415" s="254">
        <v>0</v>
      </c>
      <c r="K415" s="255">
        <f t="shared" si="224"/>
        <v>0</v>
      </c>
      <c r="L415" s="256">
        <v>55</v>
      </c>
      <c r="M415" s="257">
        <f t="shared" si="225"/>
        <v>0</v>
      </c>
      <c r="N415" s="250">
        <f t="shared" si="226"/>
        <v>0</v>
      </c>
      <c r="O415" s="251"/>
      <c r="P415" s="18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</row>
    <row r="416" spans="1:77" s="41" customFormat="1" ht="15.75">
      <c r="A416" s="64" t="str">
        <f>IF(F416&lt;&gt;"",1+MAX($A$2:A415),"")</f>
        <v/>
      </c>
      <c r="B416" s="313"/>
      <c r="C416" s="252" t="s">
        <v>341</v>
      </c>
      <c r="D416" s="243"/>
      <c r="E416" s="244"/>
      <c r="F416" s="243"/>
      <c r="G416" s="245"/>
      <c r="H416" s="246"/>
      <c r="I416" s="247"/>
      <c r="J416" s="247"/>
      <c r="K416" s="247"/>
      <c r="L416" s="256"/>
      <c r="M416" s="249"/>
      <c r="N416" s="250"/>
      <c r="O416" s="251"/>
      <c r="P416" s="18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</row>
    <row r="417" spans="1:77" s="2" customFormat="1" ht="15.75">
      <c r="A417" s="64">
        <f>IF(F417&lt;&gt;"",1+MAX($A$2:A416),"")</f>
        <v>357</v>
      </c>
      <c r="B417" s="313"/>
      <c r="C417" s="253" t="s">
        <v>342</v>
      </c>
      <c r="D417" s="243">
        <f>4561.43+(823.39*8)+(968.39*4)</f>
        <v>15022.109999999999</v>
      </c>
      <c r="E417" s="244">
        <v>0.05</v>
      </c>
      <c r="F417" s="243">
        <f t="shared" ref="F417:F424" si="227">(1+E417)*D417</f>
        <v>15773.2155</v>
      </c>
      <c r="G417" s="245" t="s">
        <v>25</v>
      </c>
      <c r="H417" s="246">
        <v>0</v>
      </c>
      <c r="I417" s="247">
        <f t="shared" ref="I417:I424" si="228">H417*F417</f>
        <v>0</v>
      </c>
      <c r="J417" s="254">
        <v>0</v>
      </c>
      <c r="K417" s="255">
        <f t="shared" ref="K417:K424" si="229">J417*F417</f>
        <v>0</v>
      </c>
      <c r="L417" s="256">
        <v>55</v>
      </c>
      <c r="M417" s="257">
        <f t="shared" ref="M417:M424" si="230">L417*K417</f>
        <v>0</v>
      </c>
      <c r="N417" s="250">
        <f t="shared" ref="N417:N424" si="231">M417+I417</f>
        <v>0</v>
      </c>
      <c r="O417" s="251"/>
      <c r="P417" s="18"/>
    </row>
    <row r="418" spans="1:77" s="2" customFormat="1" ht="15.75">
      <c r="A418" s="64">
        <f>IF(F418&lt;&gt;"",1+MAX($A$2:A417),"")</f>
        <v>358</v>
      </c>
      <c r="B418" s="313"/>
      <c r="C418" s="253" t="s">
        <v>343</v>
      </c>
      <c r="D418" s="243">
        <f>(38.89*0.17)</f>
        <v>6.6113000000000008</v>
      </c>
      <c r="E418" s="244">
        <v>0.05</v>
      </c>
      <c r="F418" s="243">
        <f t="shared" si="227"/>
        <v>6.9418650000000008</v>
      </c>
      <c r="G418" s="245" t="s">
        <v>25</v>
      </c>
      <c r="H418" s="246">
        <v>0</v>
      </c>
      <c r="I418" s="247">
        <f t="shared" si="228"/>
        <v>0</v>
      </c>
      <c r="J418" s="254">
        <v>0</v>
      </c>
      <c r="K418" s="255">
        <f t="shared" si="229"/>
        <v>0</v>
      </c>
      <c r="L418" s="256">
        <v>55</v>
      </c>
      <c r="M418" s="257">
        <f t="shared" si="230"/>
        <v>0</v>
      </c>
      <c r="N418" s="250">
        <f t="shared" si="231"/>
        <v>0</v>
      </c>
      <c r="O418" s="251"/>
      <c r="P418" s="18"/>
    </row>
    <row r="419" spans="1:77" s="2" customFormat="1" ht="15.75">
      <c r="A419" s="64">
        <f>IF(F419&lt;&gt;"",1+MAX($A$2:A418),"")</f>
        <v>359</v>
      </c>
      <c r="B419" s="313"/>
      <c r="C419" s="253" t="s">
        <v>344</v>
      </c>
      <c r="D419" s="243">
        <f>(19*0.83)</f>
        <v>15.77</v>
      </c>
      <c r="E419" s="244">
        <v>0.05</v>
      </c>
      <c r="F419" s="243">
        <f t="shared" si="227"/>
        <v>16.558499999999999</v>
      </c>
      <c r="G419" s="245" t="s">
        <v>25</v>
      </c>
      <c r="H419" s="246">
        <v>0</v>
      </c>
      <c r="I419" s="247">
        <f t="shared" si="228"/>
        <v>0</v>
      </c>
      <c r="J419" s="254">
        <v>0</v>
      </c>
      <c r="K419" s="255">
        <f t="shared" si="229"/>
        <v>0</v>
      </c>
      <c r="L419" s="256">
        <v>55</v>
      </c>
      <c r="M419" s="257">
        <f t="shared" si="230"/>
        <v>0</v>
      </c>
      <c r="N419" s="250">
        <f t="shared" si="231"/>
        <v>0</v>
      </c>
      <c r="O419" s="251"/>
      <c r="P419" s="18"/>
    </row>
    <row r="420" spans="1:77" s="2" customFormat="1" ht="15.75">
      <c r="A420" s="64">
        <f>IF(F420&lt;&gt;"",1+MAX($A$2:A419),"")</f>
        <v>360</v>
      </c>
      <c r="B420" s="313"/>
      <c r="C420" s="253" t="s">
        <v>345</v>
      </c>
      <c r="D420" s="243">
        <f>(607.12*1.17)</f>
        <v>710.33039999999994</v>
      </c>
      <c r="E420" s="244">
        <v>0.05</v>
      </c>
      <c r="F420" s="243">
        <f t="shared" si="227"/>
        <v>745.84691999999995</v>
      </c>
      <c r="G420" s="245" t="s">
        <v>25</v>
      </c>
      <c r="H420" s="246">
        <v>0</v>
      </c>
      <c r="I420" s="247">
        <f t="shared" si="228"/>
        <v>0</v>
      </c>
      <c r="J420" s="254">
        <v>0</v>
      </c>
      <c r="K420" s="255">
        <f t="shared" si="229"/>
        <v>0</v>
      </c>
      <c r="L420" s="256">
        <v>55</v>
      </c>
      <c r="M420" s="257">
        <f t="shared" si="230"/>
        <v>0</v>
      </c>
      <c r="N420" s="250">
        <f t="shared" si="231"/>
        <v>0</v>
      </c>
      <c r="O420" s="251"/>
      <c r="P420" s="18"/>
    </row>
    <row r="421" spans="1:77" s="2" customFormat="1" ht="15.75">
      <c r="A421" s="64">
        <f>IF(F421&lt;&gt;"",1+MAX($A$2:A420),"")</f>
        <v>361</v>
      </c>
      <c r="B421" s="313"/>
      <c r="C421" s="253" t="s">
        <v>346</v>
      </c>
      <c r="D421" s="243">
        <f>(13.97*1.33)</f>
        <v>18.580100000000002</v>
      </c>
      <c r="E421" s="244">
        <v>0.05</v>
      </c>
      <c r="F421" s="243">
        <f t="shared" si="227"/>
        <v>19.509105000000002</v>
      </c>
      <c r="G421" s="245" t="s">
        <v>25</v>
      </c>
      <c r="H421" s="246">
        <v>0</v>
      </c>
      <c r="I421" s="247">
        <f t="shared" si="228"/>
        <v>0</v>
      </c>
      <c r="J421" s="254">
        <v>0</v>
      </c>
      <c r="K421" s="255">
        <f t="shared" si="229"/>
        <v>0</v>
      </c>
      <c r="L421" s="256">
        <v>55</v>
      </c>
      <c r="M421" s="257">
        <f t="shared" si="230"/>
        <v>0</v>
      </c>
      <c r="N421" s="250">
        <f t="shared" si="231"/>
        <v>0</v>
      </c>
      <c r="O421" s="251"/>
      <c r="P421" s="18"/>
    </row>
    <row r="422" spans="1:77" s="2" customFormat="1" ht="15.75">
      <c r="A422" s="64">
        <f>IF(F422&lt;&gt;"",1+MAX($A$2:A421),"")</f>
        <v>362</v>
      </c>
      <c r="B422" s="313"/>
      <c r="C422" s="253" t="s">
        <v>347</v>
      </c>
      <c r="D422" s="243">
        <f>(3.31*1.5)</f>
        <v>4.9649999999999999</v>
      </c>
      <c r="E422" s="244">
        <v>0.05</v>
      </c>
      <c r="F422" s="243">
        <f t="shared" si="227"/>
        <v>5.2132500000000004</v>
      </c>
      <c r="G422" s="245" t="s">
        <v>25</v>
      </c>
      <c r="H422" s="246">
        <v>0</v>
      </c>
      <c r="I422" s="247">
        <f t="shared" si="228"/>
        <v>0</v>
      </c>
      <c r="J422" s="254">
        <v>0</v>
      </c>
      <c r="K422" s="255">
        <f t="shared" si="229"/>
        <v>0</v>
      </c>
      <c r="L422" s="256">
        <v>55</v>
      </c>
      <c r="M422" s="257">
        <f t="shared" si="230"/>
        <v>0</v>
      </c>
      <c r="N422" s="250">
        <f t="shared" si="231"/>
        <v>0</v>
      </c>
      <c r="O422" s="251"/>
      <c r="P422" s="18"/>
    </row>
    <row r="423" spans="1:77" s="2" customFormat="1" ht="15.75">
      <c r="A423" s="64">
        <f>IF(F423&lt;&gt;"",1+MAX($A$2:A422),"")</f>
        <v>363</v>
      </c>
      <c r="B423" s="313"/>
      <c r="C423" s="253" t="s">
        <v>348</v>
      </c>
      <c r="D423" s="243">
        <f>(74.25*1.83)</f>
        <v>135.8775</v>
      </c>
      <c r="E423" s="244">
        <v>0.05</v>
      </c>
      <c r="F423" s="243">
        <f t="shared" si="227"/>
        <v>142.67137500000001</v>
      </c>
      <c r="G423" s="245" t="s">
        <v>25</v>
      </c>
      <c r="H423" s="246">
        <v>0</v>
      </c>
      <c r="I423" s="247">
        <f t="shared" si="228"/>
        <v>0</v>
      </c>
      <c r="J423" s="254">
        <v>0</v>
      </c>
      <c r="K423" s="255">
        <f t="shared" si="229"/>
        <v>0</v>
      </c>
      <c r="L423" s="256">
        <v>55</v>
      </c>
      <c r="M423" s="257">
        <f t="shared" si="230"/>
        <v>0</v>
      </c>
      <c r="N423" s="250">
        <f t="shared" si="231"/>
        <v>0</v>
      </c>
      <c r="O423" s="251"/>
      <c r="P423" s="18"/>
    </row>
    <row r="424" spans="1:77" s="2" customFormat="1" ht="15.75">
      <c r="A424" s="64">
        <f>IF(F424&lt;&gt;"",1+MAX($A$2:A423),"")</f>
        <v>364</v>
      </c>
      <c r="B424" s="313"/>
      <c r="C424" s="253" t="s">
        <v>349</v>
      </c>
      <c r="D424" s="243"/>
      <c r="E424" s="244">
        <v>0.05</v>
      </c>
      <c r="F424" s="243">
        <f t="shared" si="227"/>
        <v>0</v>
      </c>
      <c r="G424" s="245" t="s">
        <v>25</v>
      </c>
      <c r="H424" s="246">
        <v>0</v>
      </c>
      <c r="I424" s="247">
        <f t="shared" si="228"/>
        <v>0</v>
      </c>
      <c r="J424" s="254">
        <v>0</v>
      </c>
      <c r="K424" s="255">
        <f t="shared" si="229"/>
        <v>0</v>
      </c>
      <c r="L424" s="256">
        <v>55</v>
      </c>
      <c r="M424" s="257">
        <f t="shared" si="230"/>
        <v>0</v>
      </c>
      <c r="N424" s="250">
        <f t="shared" si="231"/>
        <v>0</v>
      </c>
      <c r="O424" s="251"/>
      <c r="P424" s="18"/>
    </row>
    <row r="425" spans="1:77" s="41" customFormat="1" ht="15.75">
      <c r="A425" s="64" t="str">
        <f>IF(F425&lt;&gt;"",1+MAX($A$2:A424),"")</f>
        <v/>
      </c>
      <c r="B425" s="313"/>
      <c r="C425" s="211" t="s">
        <v>350</v>
      </c>
      <c r="D425" s="188"/>
      <c r="E425" s="189"/>
      <c r="F425" s="188"/>
      <c r="G425" s="190"/>
      <c r="H425" s="191"/>
      <c r="I425" s="192"/>
      <c r="J425" s="192"/>
      <c r="K425" s="192"/>
      <c r="L425" s="195"/>
      <c r="M425" s="229"/>
      <c r="N425" s="197"/>
      <c r="O425" s="198"/>
      <c r="P425" s="18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</row>
    <row r="426" spans="1:77" s="2" customFormat="1" ht="15.75">
      <c r="A426" s="64">
        <f>IF(F426&lt;&gt;"",1+MAX($A$2:A425),"")</f>
        <v>365</v>
      </c>
      <c r="B426" s="313"/>
      <c r="C426" s="226" t="s">
        <v>351</v>
      </c>
      <c r="D426" s="188">
        <f>D412</f>
        <v>7618.8435999999992</v>
      </c>
      <c r="E426" s="189">
        <v>0.05</v>
      </c>
      <c r="F426" s="188">
        <f t="shared" ref="F426:F427" si="232">(1+E426)*D426</f>
        <v>7999.7857799999992</v>
      </c>
      <c r="G426" s="190" t="s">
        <v>25</v>
      </c>
      <c r="H426" s="191">
        <v>0</v>
      </c>
      <c r="I426" s="192">
        <f t="shared" ref="I426:I427" si="233">H426*F426</f>
        <v>0</v>
      </c>
      <c r="J426" s="193">
        <v>0</v>
      </c>
      <c r="K426" s="194">
        <f t="shared" ref="K426:K427" si="234">J426*F426</f>
        <v>0</v>
      </c>
      <c r="L426" s="195">
        <v>55</v>
      </c>
      <c r="M426" s="196">
        <f t="shared" ref="M426:M427" si="235">L426*K426</f>
        <v>0</v>
      </c>
      <c r="N426" s="197">
        <f t="shared" ref="N426:N427" si="236">M426+I426</f>
        <v>0</v>
      </c>
      <c r="O426" s="198"/>
      <c r="P426" s="18"/>
    </row>
    <row r="427" spans="1:77" s="2" customFormat="1" ht="15.75">
      <c r="A427" s="64">
        <f>IF(F427&lt;&gt;"",1+MAX($A$2:A426),"")</f>
        <v>366</v>
      </c>
      <c r="B427" s="313"/>
      <c r="C427" s="232" t="s">
        <v>352</v>
      </c>
      <c r="D427" s="188">
        <f>D426</f>
        <v>7618.8435999999992</v>
      </c>
      <c r="E427" s="189">
        <v>0.05</v>
      </c>
      <c r="F427" s="188">
        <f t="shared" si="232"/>
        <v>7999.7857799999992</v>
      </c>
      <c r="G427" s="190" t="s">
        <v>25</v>
      </c>
      <c r="H427" s="191">
        <v>0</v>
      </c>
      <c r="I427" s="192">
        <f t="shared" si="233"/>
        <v>0</v>
      </c>
      <c r="J427" s="193">
        <v>0</v>
      </c>
      <c r="K427" s="194">
        <f t="shared" si="234"/>
        <v>0</v>
      </c>
      <c r="L427" s="195">
        <v>55</v>
      </c>
      <c r="M427" s="196">
        <f t="shared" si="235"/>
        <v>0</v>
      </c>
      <c r="N427" s="197">
        <f t="shared" si="236"/>
        <v>0</v>
      </c>
      <c r="O427" s="198"/>
      <c r="P427" s="18"/>
    </row>
    <row r="428" spans="1:77" s="41" customFormat="1" ht="15.75">
      <c r="A428" s="64" t="str">
        <f>IF(F428&lt;&gt;"",1+MAX($A$2:A427),"")</f>
        <v/>
      </c>
      <c r="B428" s="313"/>
      <c r="C428" s="211" t="s">
        <v>353</v>
      </c>
      <c r="D428" s="188"/>
      <c r="E428" s="189"/>
      <c r="F428" s="188"/>
      <c r="G428" s="190"/>
      <c r="H428" s="191"/>
      <c r="I428" s="192"/>
      <c r="J428" s="192"/>
      <c r="K428" s="192"/>
      <c r="L428" s="195"/>
      <c r="M428" s="229"/>
      <c r="N428" s="197"/>
      <c r="O428" s="198"/>
      <c r="P428" s="18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</row>
    <row r="429" spans="1:77" s="2" customFormat="1" ht="15.75">
      <c r="A429" s="64">
        <f>IF(F429&lt;&gt;"",1+MAX($A$2:A428),"")</f>
        <v>367</v>
      </c>
      <c r="B429" s="313"/>
      <c r="C429" s="226" t="s">
        <v>354</v>
      </c>
      <c r="D429" s="188">
        <f>D382+D405+D406+D407+D408</f>
        <v>108538.86119999998</v>
      </c>
      <c r="E429" s="189">
        <v>0.05</v>
      </c>
      <c r="F429" s="188">
        <f t="shared" ref="F429:F431" si="237">(1+E429)*D429</f>
        <v>113965.80425999999</v>
      </c>
      <c r="G429" s="190" t="s">
        <v>25</v>
      </c>
      <c r="H429" s="191">
        <v>0</v>
      </c>
      <c r="I429" s="192">
        <f t="shared" ref="I429:I433" si="238">H429*F429</f>
        <v>0</v>
      </c>
      <c r="J429" s="193">
        <v>0</v>
      </c>
      <c r="K429" s="194">
        <f t="shared" ref="K429:K433" si="239">J429*F429</f>
        <v>0</v>
      </c>
      <c r="L429" s="195">
        <v>55</v>
      </c>
      <c r="M429" s="196">
        <f t="shared" ref="M429:M433" si="240">L429*K429</f>
        <v>0</v>
      </c>
      <c r="N429" s="197">
        <f t="shared" ref="N429:N433" si="241">M429+I429</f>
        <v>0</v>
      </c>
      <c r="O429" s="198"/>
      <c r="P429" s="18"/>
    </row>
    <row r="430" spans="1:77" s="2" customFormat="1" ht="15.75">
      <c r="A430" s="64">
        <f>IF(F430&lt;&gt;"",1+MAX($A$2:A429),"")</f>
        <v>368</v>
      </c>
      <c r="B430" s="313"/>
      <c r="C430" s="226" t="s">
        <v>355</v>
      </c>
      <c r="D430" s="188">
        <f>D415+D416+D417+D418+D419+D420+D421</f>
        <v>41797.601799999989</v>
      </c>
      <c r="E430" s="189">
        <v>0.05</v>
      </c>
      <c r="F430" s="188">
        <f t="shared" si="237"/>
        <v>43887.481889999988</v>
      </c>
      <c r="G430" s="190" t="s">
        <v>25</v>
      </c>
      <c r="H430" s="191">
        <v>0</v>
      </c>
      <c r="I430" s="192">
        <f t="shared" si="238"/>
        <v>0</v>
      </c>
      <c r="J430" s="193">
        <v>0</v>
      </c>
      <c r="K430" s="194">
        <f t="shared" si="239"/>
        <v>0</v>
      </c>
      <c r="L430" s="195">
        <v>55</v>
      </c>
      <c r="M430" s="196">
        <f t="shared" si="240"/>
        <v>0</v>
      </c>
      <c r="N430" s="197">
        <f t="shared" si="241"/>
        <v>0</v>
      </c>
      <c r="O430" s="198"/>
      <c r="P430" s="18"/>
    </row>
    <row r="431" spans="1:77" s="2" customFormat="1" ht="15.75">
      <c r="A431" s="64">
        <f>IF(F431&lt;&gt;"",1+MAX($A$2:A430),"")</f>
        <v>369</v>
      </c>
      <c r="B431" s="313"/>
      <c r="C431" s="226" t="s">
        <v>356</v>
      </c>
      <c r="D431" s="188">
        <f>7694.16+1188.74*8+1023.14*4</f>
        <v>21296.640000000003</v>
      </c>
      <c r="E431" s="189">
        <v>0.05</v>
      </c>
      <c r="F431" s="188">
        <f t="shared" si="237"/>
        <v>22361.472000000005</v>
      </c>
      <c r="G431" s="190" t="s">
        <v>25</v>
      </c>
      <c r="H431" s="191">
        <v>0</v>
      </c>
      <c r="I431" s="192">
        <f t="shared" si="238"/>
        <v>0</v>
      </c>
      <c r="J431" s="193">
        <v>0</v>
      </c>
      <c r="K431" s="194">
        <f t="shared" si="239"/>
        <v>0</v>
      </c>
      <c r="L431" s="195">
        <v>55</v>
      </c>
      <c r="M431" s="196">
        <f t="shared" si="240"/>
        <v>0</v>
      </c>
      <c r="N431" s="197">
        <f t="shared" si="241"/>
        <v>0</v>
      </c>
      <c r="O431" s="198"/>
      <c r="P431" s="18"/>
    </row>
    <row r="432" spans="1:77" s="2" customFormat="1" ht="15.75">
      <c r="A432" s="64">
        <f>IF(F432&lt;&gt;"",1+MAX($A$2:A431),"")</f>
        <v>370</v>
      </c>
      <c r="B432" s="313"/>
      <c r="C432" s="253" t="s">
        <v>981</v>
      </c>
      <c r="D432" s="243">
        <v>343</v>
      </c>
      <c r="E432" s="244">
        <v>0</v>
      </c>
      <c r="F432" s="243">
        <f>(1+E432)*D432</f>
        <v>343</v>
      </c>
      <c r="G432" s="245" t="s">
        <v>14</v>
      </c>
      <c r="H432" s="246">
        <v>0</v>
      </c>
      <c r="I432" s="247">
        <f t="shared" si="238"/>
        <v>0</v>
      </c>
      <c r="J432" s="254">
        <v>0</v>
      </c>
      <c r="K432" s="255">
        <f t="shared" si="239"/>
        <v>0</v>
      </c>
      <c r="L432" s="256">
        <v>55</v>
      </c>
      <c r="M432" s="257">
        <f t="shared" si="240"/>
        <v>0</v>
      </c>
      <c r="N432" s="250">
        <f t="shared" si="241"/>
        <v>0</v>
      </c>
      <c r="O432" s="251"/>
      <c r="P432" s="18"/>
    </row>
    <row r="433" spans="1:77" s="2" customFormat="1" ht="15.75">
      <c r="A433" s="64">
        <f>IF(F433&lt;&gt;"",1+MAX($A$2:A432),"")</f>
        <v>371</v>
      </c>
      <c r="B433" s="348"/>
      <c r="C433" s="253" t="s">
        <v>982</v>
      </c>
      <c r="D433" s="243">
        <v>11791.46</v>
      </c>
      <c r="E433" s="244">
        <v>0.05</v>
      </c>
      <c r="F433" s="243">
        <f>(1+E433)*D433</f>
        <v>12381.032999999999</v>
      </c>
      <c r="G433" s="245" t="s">
        <v>13</v>
      </c>
      <c r="H433" s="246">
        <v>0</v>
      </c>
      <c r="I433" s="247">
        <f t="shared" si="238"/>
        <v>0</v>
      </c>
      <c r="J433" s="254">
        <v>0</v>
      </c>
      <c r="K433" s="255">
        <f t="shared" si="239"/>
        <v>0</v>
      </c>
      <c r="L433" s="256">
        <v>55</v>
      </c>
      <c r="M433" s="257">
        <f t="shared" si="240"/>
        <v>0</v>
      </c>
      <c r="N433" s="250">
        <f t="shared" si="241"/>
        <v>0</v>
      </c>
      <c r="O433" s="251"/>
      <c r="P433" s="18"/>
    </row>
    <row r="434" spans="1:77" s="41" customFormat="1" ht="15.75">
      <c r="A434" s="64" t="str">
        <f>IF(F434&lt;&gt;"",1+MAX($A$2:A433),"")</f>
        <v/>
      </c>
      <c r="B434" s="345" t="s">
        <v>328</v>
      </c>
      <c r="C434" s="211" t="s">
        <v>357</v>
      </c>
      <c r="D434" s="188"/>
      <c r="E434" s="189"/>
      <c r="F434" s="188"/>
      <c r="G434" s="190"/>
      <c r="H434" s="191"/>
      <c r="I434" s="192"/>
      <c r="J434" s="192"/>
      <c r="K434" s="192"/>
      <c r="L434" s="195"/>
      <c r="M434" s="229"/>
      <c r="N434" s="197"/>
      <c r="O434" s="198"/>
      <c r="P434" s="18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</row>
    <row r="435" spans="1:77" s="2" customFormat="1" ht="15.75">
      <c r="A435" s="64">
        <f>IF(F435&lt;&gt;"",1+MAX($A$2:A434),"")</f>
        <v>372</v>
      </c>
      <c r="B435" s="345"/>
      <c r="C435" s="226" t="s">
        <v>358</v>
      </c>
      <c r="D435" s="188">
        <f>6114.28-225.13</f>
        <v>5889.15</v>
      </c>
      <c r="E435" s="189">
        <v>0.05</v>
      </c>
      <c r="F435" s="188">
        <f t="shared" ref="F435:F436" si="242">(1+E435)*D435</f>
        <v>6183.6075000000001</v>
      </c>
      <c r="G435" s="190" t="s">
        <v>25</v>
      </c>
      <c r="H435" s="191">
        <v>0</v>
      </c>
      <c r="I435" s="192">
        <f t="shared" ref="I435:I436" si="243">H435*F435</f>
        <v>0</v>
      </c>
      <c r="J435" s="193">
        <v>0</v>
      </c>
      <c r="K435" s="194">
        <f t="shared" ref="K435:K436" si="244">J435*F435</f>
        <v>0</v>
      </c>
      <c r="L435" s="195">
        <v>55</v>
      </c>
      <c r="M435" s="196">
        <f t="shared" ref="M435:M436" si="245">L435*K435</f>
        <v>0</v>
      </c>
      <c r="N435" s="197">
        <f t="shared" ref="N435:N436" si="246">M435+I435</f>
        <v>0</v>
      </c>
      <c r="O435" s="198"/>
      <c r="P435" s="18"/>
    </row>
    <row r="436" spans="1:77" s="2" customFormat="1" ht="15.75">
      <c r="A436" s="64">
        <f>IF(F436&lt;&gt;"",1+MAX($A$2:A435),"")</f>
        <v>373</v>
      </c>
      <c r="B436" s="345"/>
      <c r="C436" s="235" t="s">
        <v>359</v>
      </c>
      <c r="D436" s="236">
        <f>5724.06+47.02*10.5+68.87*18.17</f>
        <v>7469.1379000000006</v>
      </c>
      <c r="E436" s="237">
        <v>0.05</v>
      </c>
      <c r="F436" s="236">
        <f t="shared" si="242"/>
        <v>7842.5947950000009</v>
      </c>
      <c r="G436" s="238" t="s">
        <v>25</v>
      </c>
      <c r="H436" s="191">
        <v>0</v>
      </c>
      <c r="I436" s="192">
        <f t="shared" si="243"/>
        <v>0</v>
      </c>
      <c r="J436" s="193">
        <v>0</v>
      </c>
      <c r="K436" s="194">
        <f t="shared" si="244"/>
        <v>0</v>
      </c>
      <c r="L436" s="195">
        <v>55</v>
      </c>
      <c r="M436" s="196">
        <f t="shared" si="245"/>
        <v>0</v>
      </c>
      <c r="N436" s="197">
        <f t="shared" si="246"/>
        <v>0</v>
      </c>
      <c r="O436" s="198"/>
      <c r="P436" s="18"/>
    </row>
    <row r="437" spans="1:77" s="41" customFormat="1" ht="15.75">
      <c r="A437" s="33"/>
      <c r="B437" s="234"/>
      <c r="C437" s="35"/>
      <c r="D437" s="36"/>
      <c r="E437" s="37"/>
      <c r="F437" s="36"/>
      <c r="G437" s="38"/>
      <c r="H437" s="27"/>
      <c r="I437" s="39"/>
      <c r="J437" s="39"/>
      <c r="K437" s="39"/>
      <c r="L437" s="40"/>
      <c r="M437" s="28"/>
      <c r="N437" s="29"/>
      <c r="O437" s="30"/>
      <c r="P437" s="31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</row>
    <row r="438" spans="1:77" s="42" customFormat="1" ht="18.75">
      <c r="A438" s="310" t="s">
        <v>983</v>
      </c>
      <c r="B438" s="311"/>
      <c r="C438" s="311"/>
      <c r="D438" s="311"/>
      <c r="E438" s="311"/>
      <c r="F438" s="311"/>
      <c r="G438" s="311"/>
      <c r="H438" s="311"/>
      <c r="I438" s="311"/>
      <c r="J438" s="311"/>
      <c r="K438" s="311"/>
      <c r="L438" s="311"/>
      <c r="M438" s="311"/>
      <c r="N438" s="311"/>
      <c r="O438" s="311"/>
      <c r="P438" s="240">
        <f>SUM(N439:N450)</f>
        <v>0</v>
      </c>
      <c r="Q438" s="2"/>
      <c r="R438" s="2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  <c r="BN438"/>
      <c r="BO438"/>
      <c r="BP438"/>
      <c r="BQ438"/>
      <c r="BR438"/>
    </row>
    <row r="439" spans="1:77" s="41" customFormat="1" ht="15.75">
      <c r="A439" s="241" t="str">
        <f>IF(F439&lt;&gt;"",1+MAX($A$2:A438),"")</f>
        <v/>
      </c>
      <c r="B439" s="279"/>
      <c r="C439" s="242"/>
      <c r="D439" s="243"/>
      <c r="E439" s="244"/>
      <c r="F439" s="243"/>
      <c r="G439" s="245"/>
      <c r="H439" s="246"/>
      <c r="I439" s="247"/>
      <c r="J439" s="247"/>
      <c r="K439" s="247"/>
      <c r="L439" s="248"/>
      <c r="M439" s="249"/>
      <c r="N439" s="250"/>
      <c r="O439" s="251"/>
      <c r="P439" s="18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</row>
    <row r="440" spans="1:77" s="41" customFormat="1" ht="15.75">
      <c r="A440" s="241" t="str">
        <f>IF(F440&lt;&gt;"",1+MAX($A$2:A439),"")</f>
        <v/>
      </c>
      <c r="B440" s="346" t="s">
        <v>857</v>
      </c>
      <c r="C440" s="252" t="s">
        <v>984</v>
      </c>
      <c r="D440" s="243"/>
      <c r="E440" s="244"/>
      <c r="F440" s="243"/>
      <c r="G440" s="245"/>
      <c r="H440" s="246"/>
      <c r="I440" s="247"/>
      <c r="J440" s="247"/>
      <c r="K440" s="247"/>
      <c r="L440" s="248"/>
      <c r="M440" s="249"/>
      <c r="N440" s="250"/>
      <c r="O440" s="251"/>
      <c r="P440" s="18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</row>
    <row r="441" spans="1:77" s="41" customFormat="1" ht="15.75">
      <c r="A441" s="64">
        <f>IF(F441&lt;&gt;"",1+MAX($A$2:A440),"")</f>
        <v>374</v>
      </c>
      <c r="B441" s="313"/>
      <c r="C441" s="253" t="s">
        <v>985</v>
      </c>
      <c r="D441" s="243">
        <v>63</v>
      </c>
      <c r="E441" s="244">
        <v>0</v>
      </c>
      <c r="F441" s="243">
        <f t="shared" ref="F441:F449" si="247">(1+E441)*D441</f>
        <v>63</v>
      </c>
      <c r="G441" s="245" t="s">
        <v>14</v>
      </c>
      <c r="H441" s="246">
        <v>0</v>
      </c>
      <c r="I441" s="247">
        <f t="shared" ref="I441:I449" si="248">H441*F441</f>
        <v>0</v>
      </c>
      <c r="J441" s="254">
        <v>0</v>
      </c>
      <c r="K441" s="255">
        <f t="shared" ref="K441:K449" si="249">J441*F441</f>
        <v>0</v>
      </c>
      <c r="L441" s="256">
        <v>55</v>
      </c>
      <c r="M441" s="257">
        <f t="shared" ref="M441:M449" si="250">L441*K441</f>
        <v>0</v>
      </c>
      <c r="N441" s="250">
        <f t="shared" ref="N441:N449" si="251">M441+I441</f>
        <v>0</v>
      </c>
      <c r="O441" s="251"/>
      <c r="P441" s="18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</row>
    <row r="442" spans="1:77" s="41" customFormat="1" ht="15.75">
      <c r="A442" s="64">
        <f>IF(F442&lt;&gt;"",1+MAX($A$2:A441),"")</f>
        <v>375</v>
      </c>
      <c r="B442" s="313"/>
      <c r="C442" s="253" t="s">
        <v>986</v>
      </c>
      <c r="D442" s="243">
        <v>63</v>
      </c>
      <c r="E442" s="244">
        <v>0</v>
      </c>
      <c r="F442" s="243">
        <f t="shared" si="247"/>
        <v>63</v>
      </c>
      <c r="G442" s="245" t="s">
        <v>14</v>
      </c>
      <c r="H442" s="246">
        <v>0</v>
      </c>
      <c r="I442" s="247">
        <f t="shared" si="248"/>
        <v>0</v>
      </c>
      <c r="J442" s="254">
        <v>0</v>
      </c>
      <c r="K442" s="255">
        <f t="shared" si="249"/>
        <v>0</v>
      </c>
      <c r="L442" s="256">
        <v>55</v>
      </c>
      <c r="M442" s="257">
        <f t="shared" si="250"/>
        <v>0</v>
      </c>
      <c r="N442" s="250">
        <f t="shared" si="251"/>
        <v>0</v>
      </c>
      <c r="O442" s="251"/>
      <c r="P442" s="18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</row>
    <row r="443" spans="1:77" s="41" customFormat="1" ht="15.75">
      <c r="A443" s="64">
        <f>IF(F443&lt;&gt;"",1+MAX($A$2:A442),"")</f>
        <v>376</v>
      </c>
      <c r="B443" s="313"/>
      <c r="C443" s="253" t="s">
        <v>987</v>
      </c>
      <c r="D443" s="243">
        <v>55</v>
      </c>
      <c r="E443" s="244">
        <v>0</v>
      </c>
      <c r="F443" s="243">
        <f t="shared" si="247"/>
        <v>55</v>
      </c>
      <c r="G443" s="245" t="s">
        <v>14</v>
      </c>
      <c r="H443" s="246">
        <v>0</v>
      </c>
      <c r="I443" s="247">
        <f t="shared" si="248"/>
        <v>0</v>
      </c>
      <c r="J443" s="254">
        <v>0</v>
      </c>
      <c r="K443" s="255">
        <f t="shared" si="249"/>
        <v>0</v>
      </c>
      <c r="L443" s="256">
        <v>55</v>
      </c>
      <c r="M443" s="257">
        <f t="shared" si="250"/>
        <v>0</v>
      </c>
      <c r="N443" s="250">
        <f t="shared" si="251"/>
        <v>0</v>
      </c>
      <c r="O443" s="251"/>
      <c r="P443" s="18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</row>
    <row r="444" spans="1:77" s="41" customFormat="1" ht="15.75">
      <c r="A444" s="64">
        <f>IF(F444&lt;&gt;"",1+MAX($A$2:A443),"")</f>
        <v>377</v>
      </c>
      <c r="B444" s="313"/>
      <c r="C444" s="253" t="s">
        <v>988</v>
      </c>
      <c r="D444" s="243">
        <v>63</v>
      </c>
      <c r="E444" s="244">
        <v>0</v>
      </c>
      <c r="F444" s="243">
        <f t="shared" si="247"/>
        <v>63</v>
      </c>
      <c r="G444" s="245" t="s">
        <v>14</v>
      </c>
      <c r="H444" s="246">
        <v>0</v>
      </c>
      <c r="I444" s="247">
        <f t="shared" si="248"/>
        <v>0</v>
      </c>
      <c r="J444" s="254">
        <v>0</v>
      </c>
      <c r="K444" s="255">
        <f t="shared" si="249"/>
        <v>0</v>
      </c>
      <c r="L444" s="256">
        <v>55</v>
      </c>
      <c r="M444" s="257">
        <f t="shared" si="250"/>
        <v>0</v>
      </c>
      <c r="N444" s="250">
        <f t="shared" si="251"/>
        <v>0</v>
      </c>
      <c r="O444" s="251"/>
      <c r="P444" s="18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</row>
    <row r="445" spans="1:77" s="41" customFormat="1" ht="15.75">
      <c r="A445" s="64">
        <f>IF(F445&lt;&gt;"",1+MAX($A$2:A444),"")</f>
        <v>378</v>
      </c>
      <c r="B445" s="313"/>
      <c r="C445" s="253" t="s">
        <v>989</v>
      </c>
      <c r="D445" s="243">
        <v>97</v>
      </c>
      <c r="E445" s="244">
        <v>0</v>
      </c>
      <c r="F445" s="243">
        <f t="shared" si="247"/>
        <v>97</v>
      </c>
      <c r="G445" s="245" t="s">
        <v>14</v>
      </c>
      <c r="H445" s="246">
        <v>0</v>
      </c>
      <c r="I445" s="247">
        <f t="shared" si="248"/>
        <v>0</v>
      </c>
      <c r="J445" s="254">
        <v>0</v>
      </c>
      <c r="K445" s="255">
        <f t="shared" si="249"/>
        <v>0</v>
      </c>
      <c r="L445" s="256">
        <v>55</v>
      </c>
      <c r="M445" s="257">
        <f t="shared" si="250"/>
        <v>0</v>
      </c>
      <c r="N445" s="250">
        <f t="shared" si="251"/>
        <v>0</v>
      </c>
      <c r="O445" s="251"/>
      <c r="P445" s="18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</row>
    <row r="446" spans="1:77" s="41" customFormat="1" ht="15.75">
      <c r="A446" s="64">
        <f>IF(F446&lt;&gt;"",1+MAX($A$2:A445),"")</f>
        <v>379</v>
      </c>
      <c r="B446" s="313"/>
      <c r="C446" s="253" t="s">
        <v>990</v>
      </c>
      <c r="D446" s="243">
        <v>100</v>
      </c>
      <c r="E446" s="244">
        <v>0</v>
      </c>
      <c r="F446" s="243">
        <f t="shared" si="247"/>
        <v>100</v>
      </c>
      <c r="G446" s="245" t="s">
        <v>14</v>
      </c>
      <c r="H446" s="246">
        <v>0</v>
      </c>
      <c r="I446" s="247">
        <f t="shared" si="248"/>
        <v>0</v>
      </c>
      <c r="J446" s="254">
        <v>0</v>
      </c>
      <c r="K446" s="255">
        <f t="shared" si="249"/>
        <v>0</v>
      </c>
      <c r="L446" s="256">
        <v>55</v>
      </c>
      <c r="M446" s="257">
        <f t="shared" si="250"/>
        <v>0</v>
      </c>
      <c r="N446" s="250">
        <f t="shared" si="251"/>
        <v>0</v>
      </c>
      <c r="O446" s="251"/>
      <c r="P446" s="18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</row>
    <row r="447" spans="1:77" s="41" customFormat="1" ht="15.75">
      <c r="A447" s="64">
        <f>IF(F447&lt;&gt;"",1+MAX($A$2:A446),"")</f>
        <v>380</v>
      </c>
      <c r="B447" s="313"/>
      <c r="C447" s="253" t="s">
        <v>991</v>
      </c>
      <c r="D447" s="243">
        <v>30</v>
      </c>
      <c r="E447" s="244">
        <v>0</v>
      </c>
      <c r="F447" s="243">
        <f t="shared" si="247"/>
        <v>30</v>
      </c>
      <c r="G447" s="245" t="s">
        <v>14</v>
      </c>
      <c r="H447" s="246">
        <v>0</v>
      </c>
      <c r="I447" s="247">
        <f t="shared" si="248"/>
        <v>0</v>
      </c>
      <c r="J447" s="254">
        <v>0</v>
      </c>
      <c r="K447" s="255">
        <f t="shared" si="249"/>
        <v>0</v>
      </c>
      <c r="L447" s="256">
        <v>55</v>
      </c>
      <c r="M447" s="257">
        <f t="shared" si="250"/>
        <v>0</v>
      </c>
      <c r="N447" s="250">
        <f t="shared" si="251"/>
        <v>0</v>
      </c>
      <c r="O447" s="251"/>
      <c r="P447" s="18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</row>
    <row r="448" spans="1:77" s="41" customFormat="1" ht="15.75">
      <c r="A448" s="64">
        <f>IF(F448&lt;&gt;"",1+MAX($A$2:A447),"")</f>
        <v>381</v>
      </c>
      <c r="B448" s="313"/>
      <c r="C448" s="253" t="s">
        <v>992</v>
      </c>
      <c r="D448" s="243">
        <v>14</v>
      </c>
      <c r="E448" s="244">
        <v>0</v>
      </c>
      <c r="F448" s="243">
        <f t="shared" si="247"/>
        <v>14</v>
      </c>
      <c r="G448" s="245" t="s">
        <v>14</v>
      </c>
      <c r="H448" s="246">
        <v>0</v>
      </c>
      <c r="I448" s="247">
        <f t="shared" si="248"/>
        <v>0</v>
      </c>
      <c r="J448" s="254">
        <v>0</v>
      </c>
      <c r="K448" s="255">
        <f t="shared" si="249"/>
        <v>0</v>
      </c>
      <c r="L448" s="256">
        <v>55</v>
      </c>
      <c r="M448" s="257">
        <f t="shared" si="250"/>
        <v>0</v>
      </c>
      <c r="N448" s="250">
        <f t="shared" si="251"/>
        <v>0</v>
      </c>
      <c r="O448" s="251"/>
      <c r="P448" s="18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</row>
    <row r="449" spans="1:77" s="41" customFormat="1" ht="15.75">
      <c r="A449" s="64">
        <f>IF(F449&lt;&gt;"",1+MAX($A$2:A448),"")</f>
        <v>382</v>
      </c>
      <c r="B449" s="313"/>
      <c r="C449" s="253" t="s">
        <v>993</v>
      </c>
      <c r="D449" s="243">
        <v>11</v>
      </c>
      <c r="E449" s="244">
        <v>0</v>
      </c>
      <c r="F449" s="243">
        <f t="shared" si="247"/>
        <v>11</v>
      </c>
      <c r="G449" s="245" t="s">
        <v>14</v>
      </c>
      <c r="H449" s="246">
        <v>0</v>
      </c>
      <c r="I449" s="247">
        <f t="shared" si="248"/>
        <v>0</v>
      </c>
      <c r="J449" s="254">
        <v>0</v>
      </c>
      <c r="K449" s="255">
        <f t="shared" si="249"/>
        <v>0</v>
      </c>
      <c r="L449" s="256">
        <v>55</v>
      </c>
      <c r="M449" s="257">
        <f t="shared" si="250"/>
        <v>0</v>
      </c>
      <c r="N449" s="250">
        <f t="shared" si="251"/>
        <v>0</v>
      </c>
      <c r="O449" s="251"/>
      <c r="P449" s="18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</row>
    <row r="450" spans="1:77" s="41" customFormat="1" ht="15.75">
      <c r="A450" s="241" t="str">
        <f>IF(F450&lt;&gt;"",1+MAX($A$2:A449),"")</f>
        <v/>
      </c>
      <c r="B450" s="279"/>
      <c r="C450" s="242"/>
      <c r="D450" s="243"/>
      <c r="E450" s="244"/>
      <c r="F450" s="243"/>
      <c r="G450" s="245"/>
      <c r="H450" s="246"/>
      <c r="I450" s="247"/>
      <c r="J450" s="247"/>
      <c r="K450" s="247"/>
      <c r="L450" s="248"/>
      <c r="M450" s="249"/>
      <c r="N450" s="250"/>
      <c r="O450" s="251"/>
      <c r="P450" s="18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</row>
    <row r="451" spans="1:77" s="42" customFormat="1" ht="18.75">
      <c r="A451" s="310" t="s">
        <v>994</v>
      </c>
      <c r="B451" s="311"/>
      <c r="C451" s="311"/>
      <c r="D451" s="311"/>
      <c r="E451" s="311"/>
      <c r="F451" s="311"/>
      <c r="G451" s="311"/>
      <c r="H451" s="311"/>
      <c r="I451" s="311"/>
      <c r="J451" s="311"/>
      <c r="K451" s="311"/>
      <c r="L451" s="311"/>
      <c r="M451" s="311"/>
      <c r="N451" s="311"/>
      <c r="O451" s="311"/>
      <c r="P451" s="240">
        <f>SUM(N452:N460)</f>
        <v>0</v>
      </c>
      <c r="Q451" s="2"/>
      <c r="R451" s="2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  <c r="BN451"/>
      <c r="BO451"/>
      <c r="BP451"/>
      <c r="BQ451"/>
      <c r="BR451"/>
    </row>
    <row r="452" spans="1:77" s="41" customFormat="1" ht="15.75">
      <c r="A452" s="241" t="str">
        <f>IF(F452&lt;&gt;"",1+MAX($A$2:A451),"")</f>
        <v/>
      </c>
      <c r="B452" s="279"/>
      <c r="C452" s="242"/>
      <c r="D452" s="243"/>
      <c r="E452" s="244"/>
      <c r="F452" s="243"/>
      <c r="G452" s="245"/>
      <c r="H452" s="246"/>
      <c r="I452" s="247"/>
      <c r="J452" s="247"/>
      <c r="K452" s="247"/>
      <c r="L452" s="248"/>
      <c r="M452" s="249"/>
      <c r="N452" s="250"/>
      <c r="O452" s="251"/>
      <c r="P452" s="18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</row>
    <row r="453" spans="1:77" s="41" customFormat="1" ht="15.75">
      <c r="A453" s="241" t="str">
        <f>IF(F453&lt;&gt;"",1+MAX($A$2:A452),"")</f>
        <v/>
      </c>
      <c r="B453" s="346" t="s">
        <v>857</v>
      </c>
      <c r="C453" s="252" t="s">
        <v>995</v>
      </c>
      <c r="D453" s="243"/>
      <c r="E453" s="244"/>
      <c r="F453" s="243"/>
      <c r="G453" s="245"/>
      <c r="H453" s="246"/>
      <c r="I453" s="247"/>
      <c r="J453" s="247"/>
      <c r="K453" s="247"/>
      <c r="L453" s="256"/>
      <c r="M453" s="249"/>
      <c r="N453" s="250"/>
      <c r="O453" s="251"/>
      <c r="P453" s="18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</row>
    <row r="454" spans="1:77" s="41" customFormat="1" ht="15.75">
      <c r="A454" s="64">
        <f>IF(F454&lt;&gt;"",1+MAX($A$2:A453),"")</f>
        <v>383</v>
      </c>
      <c r="B454" s="313"/>
      <c r="C454" s="253" t="s">
        <v>996</v>
      </c>
      <c r="D454" s="243">
        <v>22</v>
      </c>
      <c r="E454" s="244">
        <v>0</v>
      </c>
      <c r="F454" s="243">
        <f t="shared" ref="F454:F459" si="252">(1+E454)*D454</f>
        <v>22</v>
      </c>
      <c r="G454" s="245" t="s">
        <v>14</v>
      </c>
      <c r="H454" s="246">
        <v>0</v>
      </c>
      <c r="I454" s="247">
        <f t="shared" ref="I454:I459" si="253">H454*F454</f>
        <v>0</v>
      </c>
      <c r="J454" s="254">
        <v>0</v>
      </c>
      <c r="K454" s="255">
        <f t="shared" ref="K454:K459" si="254">J454*F454</f>
        <v>0</v>
      </c>
      <c r="L454" s="256">
        <v>55</v>
      </c>
      <c r="M454" s="257">
        <f t="shared" ref="M454:M459" si="255">L454*K454</f>
        <v>0</v>
      </c>
      <c r="N454" s="250">
        <f t="shared" ref="N454:N459" si="256">M454+I454</f>
        <v>0</v>
      </c>
      <c r="O454" s="251"/>
      <c r="P454" s="18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</row>
    <row r="455" spans="1:77" s="41" customFormat="1" ht="15.75">
      <c r="A455" s="64">
        <f>IF(F455&lt;&gt;"",1+MAX($A$2:A454),"")</f>
        <v>384</v>
      </c>
      <c r="B455" s="313"/>
      <c r="C455" s="253" t="s">
        <v>997</v>
      </c>
      <c r="D455" s="243">
        <v>23</v>
      </c>
      <c r="E455" s="244">
        <v>0</v>
      </c>
      <c r="F455" s="243">
        <f t="shared" si="252"/>
        <v>23</v>
      </c>
      <c r="G455" s="245" t="s">
        <v>14</v>
      </c>
      <c r="H455" s="246">
        <v>0</v>
      </c>
      <c r="I455" s="247">
        <f t="shared" si="253"/>
        <v>0</v>
      </c>
      <c r="J455" s="254">
        <v>0</v>
      </c>
      <c r="K455" s="255">
        <f t="shared" si="254"/>
        <v>0</v>
      </c>
      <c r="L455" s="256">
        <v>55</v>
      </c>
      <c r="M455" s="257">
        <f t="shared" si="255"/>
        <v>0</v>
      </c>
      <c r="N455" s="250">
        <f t="shared" si="256"/>
        <v>0</v>
      </c>
      <c r="O455" s="251"/>
      <c r="P455" s="18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</row>
    <row r="456" spans="1:77" s="41" customFormat="1" ht="15.75">
      <c r="A456" s="64">
        <f>IF(F456&lt;&gt;"",1+MAX($A$2:A455),"")</f>
        <v>385</v>
      </c>
      <c r="B456" s="313"/>
      <c r="C456" s="253" t="s">
        <v>998</v>
      </c>
      <c r="D456" s="243">
        <v>23</v>
      </c>
      <c r="E456" s="244">
        <v>0</v>
      </c>
      <c r="F456" s="243">
        <f t="shared" si="252"/>
        <v>23</v>
      </c>
      <c r="G456" s="245" t="s">
        <v>14</v>
      </c>
      <c r="H456" s="246">
        <v>0</v>
      </c>
      <c r="I456" s="247">
        <f t="shared" si="253"/>
        <v>0</v>
      </c>
      <c r="J456" s="254">
        <v>0</v>
      </c>
      <c r="K456" s="255">
        <f t="shared" si="254"/>
        <v>0</v>
      </c>
      <c r="L456" s="256">
        <v>55</v>
      </c>
      <c r="M456" s="257">
        <f t="shared" si="255"/>
        <v>0</v>
      </c>
      <c r="N456" s="250">
        <f t="shared" si="256"/>
        <v>0</v>
      </c>
      <c r="O456" s="251"/>
      <c r="P456" s="18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</row>
    <row r="457" spans="1:77" s="41" customFormat="1" ht="15.75">
      <c r="A457" s="64">
        <f>IF(F457&lt;&gt;"",1+MAX($A$2:A456),"")</f>
        <v>386</v>
      </c>
      <c r="B457" s="313"/>
      <c r="C457" s="253" t="s">
        <v>999</v>
      </c>
      <c r="D457" s="243">
        <v>22</v>
      </c>
      <c r="E457" s="244">
        <v>0</v>
      </c>
      <c r="F457" s="243">
        <f t="shared" si="252"/>
        <v>22</v>
      </c>
      <c r="G457" s="245" t="s">
        <v>14</v>
      </c>
      <c r="H457" s="246">
        <v>0</v>
      </c>
      <c r="I457" s="247">
        <f t="shared" si="253"/>
        <v>0</v>
      </c>
      <c r="J457" s="254">
        <v>0</v>
      </c>
      <c r="K457" s="255">
        <f t="shared" si="254"/>
        <v>0</v>
      </c>
      <c r="L457" s="256">
        <v>55</v>
      </c>
      <c r="M457" s="257">
        <f t="shared" si="255"/>
        <v>0</v>
      </c>
      <c r="N457" s="250">
        <f t="shared" si="256"/>
        <v>0</v>
      </c>
      <c r="O457" s="251"/>
      <c r="P457" s="18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</row>
    <row r="458" spans="1:77" s="41" customFormat="1" ht="15.75">
      <c r="A458" s="64">
        <f>IF(F458&lt;&gt;"",1+MAX($A$2:A457),"")</f>
        <v>387</v>
      </c>
      <c r="B458" s="313"/>
      <c r="C458" s="253" t="s">
        <v>1000</v>
      </c>
      <c r="D458" s="243">
        <v>1</v>
      </c>
      <c r="E458" s="244">
        <v>0</v>
      </c>
      <c r="F458" s="243">
        <f t="shared" si="252"/>
        <v>1</v>
      </c>
      <c r="G458" s="245" t="s">
        <v>14</v>
      </c>
      <c r="H458" s="246">
        <v>0</v>
      </c>
      <c r="I458" s="247">
        <f t="shared" si="253"/>
        <v>0</v>
      </c>
      <c r="J458" s="254">
        <v>0</v>
      </c>
      <c r="K458" s="255">
        <f t="shared" si="254"/>
        <v>0</v>
      </c>
      <c r="L458" s="256">
        <v>55</v>
      </c>
      <c r="M458" s="257">
        <f t="shared" si="255"/>
        <v>0</v>
      </c>
      <c r="N458" s="250">
        <f t="shared" si="256"/>
        <v>0</v>
      </c>
      <c r="O458" s="251"/>
      <c r="P458" s="18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</row>
    <row r="459" spans="1:77" s="41" customFormat="1" ht="15.75">
      <c r="A459" s="64">
        <f>IF(F459&lt;&gt;"",1+MAX($A$2:A458),"")</f>
        <v>388</v>
      </c>
      <c r="B459" s="313"/>
      <c r="C459" s="253" t="s">
        <v>1001</v>
      </c>
      <c r="D459" s="243">
        <v>1</v>
      </c>
      <c r="E459" s="244">
        <v>0</v>
      </c>
      <c r="F459" s="243">
        <f t="shared" si="252"/>
        <v>1</v>
      </c>
      <c r="G459" s="245" t="s">
        <v>14</v>
      </c>
      <c r="H459" s="246">
        <v>0</v>
      </c>
      <c r="I459" s="247">
        <f t="shared" si="253"/>
        <v>0</v>
      </c>
      <c r="J459" s="254">
        <v>0</v>
      </c>
      <c r="K459" s="255">
        <f t="shared" si="254"/>
        <v>0</v>
      </c>
      <c r="L459" s="256">
        <v>55</v>
      </c>
      <c r="M459" s="257">
        <f t="shared" si="255"/>
        <v>0</v>
      </c>
      <c r="N459" s="250">
        <f t="shared" si="256"/>
        <v>0</v>
      </c>
      <c r="O459" s="251"/>
      <c r="P459" s="18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</row>
    <row r="460" spans="1:77" s="41" customFormat="1" ht="15.75">
      <c r="A460" s="241" t="str">
        <f>IF(F460&lt;&gt;"",1+MAX($A$2:A459),"")</f>
        <v/>
      </c>
      <c r="B460" s="279"/>
      <c r="C460" s="242"/>
      <c r="D460" s="243"/>
      <c r="E460" s="244"/>
      <c r="F460" s="243"/>
      <c r="G460" s="245"/>
      <c r="H460" s="246"/>
      <c r="I460" s="247"/>
      <c r="J460" s="247"/>
      <c r="K460" s="247"/>
      <c r="L460" s="256"/>
      <c r="M460" s="249"/>
      <c r="N460" s="250"/>
      <c r="O460" s="251"/>
      <c r="P460" s="18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</row>
    <row r="461" spans="1:77" s="42" customFormat="1" ht="18.75">
      <c r="A461" s="310" t="s">
        <v>360</v>
      </c>
      <c r="B461" s="311"/>
      <c r="C461" s="311"/>
      <c r="D461" s="311"/>
      <c r="E461" s="311"/>
      <c r="F461" s="311"/>
      <c r="G461" s="311"/>
      <c r="H461" s="311"/>
      <c r="I461" s="311"/>
      <c r="J461" s="311"/>
      <c r="K461" s="311"/>
      <c r="L461" s="311"/>
      <c r="M461" s="311"/>
      <c r="N461" s="311"/>
      <c r="O461" s="311"/>
      <c r="P461" s="240">
        <f>SUM(N462:N987)</f>
        <v>0</v>
      </c>
      <c r="Q461" s="2"/>
      <c r="R461" s="2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</row>
    <row r="462" spans="1:77" s="41" customFormat="1" ht="15.75">
      <c r="A462" s="64" t="str">
        <f>IF(F462&lt;&gt;"",1+MAX($A$2:A461),"")</f>
        <v/>
      </c>
      <c r="B462" s="230"/>
      <c r="C462" s="227"/>
      <c r="D462" s="188"/>
      <c r="E462" s="189"/>
      <c r="F462" s="188"/>
      <c r="G462" s="190"/>
      <c r="H462" s="191"/>
      <c r="I462" s="192"/>
      <c r="J462" s="192"/>
      <c r="K462" s="192"/>
      <c r="L462" s="195"/>
      <c r="M462" s="229"/>
      <c r="N462" s="197"/>
      <c r="O462" s="198"/>
      <c r="P462" s="18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</row>
    <row r="463" spans="1:77" s="41" customFormat="1" ht="15.75">
      <c r="A463" s="241" t="str">
        <f>IF(F463&lt;&gt;"",1+MAX($A$2:A462),"")</f>
        <v/>
      </c>
      <c r="B463" s="346" t="s">
        <v>857</v>
      </c>
      <c r="C463" s="252" t="s">
        <v>361</v>
      </c>
      <c r="D463" s="243"/>
      <c r="E463" s="244"/>
      <c r="F463" s="243"/>
      <c r="G463" s="245"/>
      <c r="H463" s="246"/>
      <c r="I463" s="247"/>
      <c r="J463" s="247"/>
      <c r="K463" s="247"/>
      <c r="L463" s="256"/>
      <c r="M463" s="249"/>
      <c r="N463" s="250"/>
      <c r="O463" s="251"/>
      <c r="P463" s="18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</row>
    <row r="464" spans="1:77" s="2" customFormat="1" ht="15.75">
      <c r="A464" s="64">
        <f>IF(F464&lt;&gt;"",1+MAX($A$2:A463),"")</f>
        <v>389</v>
      </c>
      <c r="B464" s="313"/>
      <c r="C464" s="253" t="s">
        <v>1002</v>
      </c>
      <c r="D464" s="243">
        <v>34.869999999999997</v>
      </c>
      <c r="E464" s="244">
        <v>0.05</v>
      </c>
      <c r="F464" s="243">
        <f t="shared" ref="F464:F480" si="257">(1+E464)*D464</f>
        <v>36.613500000000002</v>
      </c>
      <c r="G464" s="245" t="s">
        <v>25</v>
      </c>
      <c r="H464" s="246">
        <v>0</v>
      </c>
      <c r="I464" s="247">
        <f t="shared" ref="I464:I474" si="258">H464*F464</f>
        <v>0</v>
      </c>
      <c r="J464" s="254">
        <v>0</v>
      </c>
      <c r="K464" s="255">
        <f t="shared" ref="K464:K474" si="259">J464*F464</f>
        <v>0</v>
      </c>
      <c r="L464" s="256">
        <v>55</v>
      </c>
      <c r="M464" s="257">
        <f t="shared" ref="M464:M474" si="260">L464*K464</f>
        <v>0</v>
      </c>
      <c r="N464" s="250">
        <f t="shared" ref="N464:N474" si="261">M464+I464</f>
        <v>0</v>
      </c>
      <c r="O464" s="251"/>
      <c r="P464" s="18"/>
    </row>
    <row r="465" spans="1:77" s="2" customFormat="1" ht="15.75">
      <c r="A465" s="64">
        <f>IF(F465&lt;&gt;"",1+MAX($A$2:A464),"")</f>
        <v>390</v>
      </c>
      <c r="B465" s="313"/>
      <c r="C465" s="253" t="s">
        <v>1003</v>
      </c>
      <c r="D465" s="243">
        <v>679.4</v>
      </c>
      <c r="E465" s="244">
        <v>0.05</v>
      </c>
      <c r="F465" s="243">
        <f t="shared" si="257"/>
        <v>713.37</v>
      </c>
      <c r="G465" s="245" t="s">
        <v>25</v>
      </c>
      <c r="H465" s="246">
        <v>0</v>
      </c>
      <c r="I465" s="247">
        <f t="shared" si="258"/>
        <v>0</v>
      </c>
      <c r="J465" s="254">
        <v>0</v>
      </c>
      <c r="K465" s="255">
        <f t="shared" si="259"/>
        <v>0</v>
      </c>
      <c r="L465" s="256">
        <v>55</v>
      </c>
      <c r="M465" s="257">
        <f t="shared" si="260"/>
        <v>0</v>
      </c>
      <c r="N465" s="250">
        <f t="shared" si="261"/>
        <v>0</v>
      </c>
      <c r="O465" s="251"/>
      <c r="P465" s="18"/>
    </row>
    <row r="466" spans="1:77" s="2" customFormat="1" ht="15.75">
      <c r="A466" s="64">
        <f>IF(F466&lt;&gt;"",1+MAX($A$2:A465),"")</f>
        <v>391</v>
      </c>
      <c r="B466" s="313"/>
      <c r="C466" s="253" t="s">
        <v>1004</v>
      </c>
      <c r="D466" s="243">
        <v>5.07</v>
      </c>
      <c r="E466" s="244">
        <v>0.05</v>
      </c>
      <c r="F466" s="243">
        <f t="shared" si="257"/>
        <v>5.3235000000000001</v>
      </c>
      <c r="G466" s="245" t="s">
        <v>25</v>
      </c>
      <c r="H466" s="246">
        <v>0</v>
      </c>
      <c r="I466" s="247">
        <f t="shared" si="258"/>
        <v>0</v>
      </c>
      <c r="J466" s="254">
        <v>0</v>
      </c>
      <c r="K466" s="255">
        <f t="shared" si="259"/>
        <v>0</v>
      </c>
      <c r="L466" s="256">
        <v>55</v>
      </c>
      <c r="M466" s="257">
        <f t="shared" si="260"/>
        <v>0</v>
      </c>
      <c r="N466" s="250">
        <f t="shared" si="261"/>
        <v>0</v>
      </c>
      <c r="O466" s="251"/>
      <c r="P466" s="18"/>
    </row>
    <row r="467" spans="1:77" s="41" customFormat="1" ht="15.75">
      <c r="A467" s="64">
        <f>IF(F467&lt;&gt;"",1+MAX($A$2:A466),"")</f>
        <v>392</v>
      </c>
      <c r="B467" s="313"/>
      <c r="C467" s="253" t="s">
        <v>1005</v>
      </c>
      <c r="D467" s="243">
        <v>47.46</v>
      </c>
      <c r="E467" s="244">
        <v>0.05</v>
      </c>
      <c r="F467" s="243">
        <f t="shared" si="257"/>
        <v>49.833000000000006</v>
      </c>
      <c r="G467" s="245" t="s">
        <v>25</v>
      </c>
      <c r="H467" s="246">
        <v>0</v>
      </c>
      <c r="I467" s="247">
        <f t="shared" si="258"/>
        <v>0</v>
      </c>
      <c r="J467" s="254">
        <v>0</v>
      </c>
      <c r="K467" s="255">
        <f t="shared" si="259"/>
        <v>0</v>
      </c>
      <c r="L467" s="256">
        <v>55</v>
      </c>
      <c r="M467" s="257">
        <f t="shared" si="260"/>
        <v>0</v>
      </c>
      <c r="N467" s="250">
        <f t="shared" si="261"/>
        <v>0</v>
      </c>
      <c r="O467" s="251"/>
      <c r="P467" s="18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</row>
    <row r="468" spans="1:77" s="41" customFormat="1" ht="15.75">
      <c r="A468" s="64">
        <f>IF(F468&lt;&gt;"",1+MAX($A$2:A467),"")</f>
        <v>393</v>
      </c>
      <c r="B468" s="313"/>
      <c r="C468" s="253" t="s">
        <v>1006</v>
      </c>
      <c r="D468" s="243">
        <v>39.5</v>
      </c>
      <c r="E468" s="244">
        <v>0.05</v>
      </c>
      <c r="F468" s="243">
        <f t="shared" si="257"/>
        <v>41.475000000000001</v>
      </c>
      <c r="G468" s="245" t="s">
        <v>25</v>
      </c>
      <c r="H468" s="246">
        <v>0</v>
      </c>
      <c r="I468" s="247">
        <f t="shared" si="258"/>
        <v>0</v>
      </c>
      <c r="J468" s="254">
        <v>0</v>
      </c>
      <c r="K468" s="255">
        <f t="shared" si="259"/>
        <v>0</v>
      </c>
      <c r="L468" s="256">
        <v>55</v>
      </c>
      <c r="M468" s="257">
        <f t="shared" si="260"/>
        <v>0</v>
      </c>
      <c r="N468" s="250">
        <f t="shared" si="261"/>
        <v>0</v>
      </c>
      <c r="O468" s="251"/>
      <c r="P468" s="18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</row>
    <row r="469" spans="1:77" s="41" customFormat="1" ht="15.75">
      <c r="A469" s="64">
        <f>IF(F469&lt;&gt;"",1+MAX($A$2:A468),"")</f>
        <v>394</v>
      </c>
      <c r="B469" s="313"/>
      <c r="C469" s="253" t="s">
        <v>1007</v>
      </c>
      <c r="D469" s="243">
        <v>103.8</v>
      </c>
      <c r="E469" s="244">
        <v>0.05</v>
      </c>
      <c r="F469" s="243">
        <f t="shared" si="257"/>
        <v>108.99</v>
      </c>
      <c r="G469" s="245" t="s">
        <v>25</v>
      </c>
      <c r="H469" s="246">
        <v>0</v>
      </c>
      <c r="I469" s="247">
        <f t="shared" si="258"/>
        <v>0</v>
      </c>
      <c r="J469" s="254">
        <v>0</v>
      </c>
      <c r="K469" s="255">
        <f t="shared" si="259"/>
        <v>0</v>
      </c>
      <c r="L469" s="256">
        <v>55</v>
      </c>
      <c r="M469" s="257">
        <f t="shared" si="260"/>
        <v>0</v>
      </c>
      <c r="N469" s="250">
        <f t="shared" si="261"/>
        <v>0</v>
      </c>
      <c r="O469" s="251"/>
      <c r="P469" s="18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</row>
    <row r="470" spans="1:77" s="2" customFormat="1" ht="15.75">
      <c r="A470" s="64">
        <f>IF(F470&lt;&gt;"",1+MAX($A$2:A469),"")</f>
        <v>395</v>
      </c>
      <c r="B470" s="313"/>
      <c r="C470" s="253" t="s">
        <v>1008</v>
      </c>
      <c r="D470" s="243">
        <v>15.58</v>
      </c>
      <c r="E470" s="244">
        <v>0.05</v>
      </c>
      <c r="F470" s="243">
        <f t="shared" si="257"/>
        <v>16.359000000000002</v>
      </c>
      <c r="G470" s="245" t="s">
        <v>25</v>
      </c>
      <c r="H470" s="246">
        <v>0</v>
      </c>
      <c r="I470" s="247">
        <f t="shared" si="258"/>
        <v>0</v>
      </c>
      <c r="J470" s="254">
        <v>0</v>
      </c>
      <c r="K470" s="255">
        <f t="shared" si="259"/>
        <v>0</v>
      </c>
      <c r="L470" s="256">
        <v>55</v>
      </c>
      <c r="M470" s="257">
        <f t="shared" si="260"/>
        <v>0</v>
      </c>
      <c r="N470" s="250">
        <f t="shared" si="261"/>
        <v>0</v>
      </c>
      <c r="O470" s="251"/>
      <c r="P470" s="18"/>
    </row>
    <row r="471" spans="1:77" s="2" customFormat="1" ht="15.75">
      <c r="A471" s="64">
        <f>IF(F471&lt;&gt;"",1+MAX($A$2:A470),"")</f>
        <v>396</v>
      </c>
      <c r="B471" s="313"/>
      <c r="C471" s="253" t="s">
        <v>1009</v>
      </c>
      <c r="D471" s="243">
        <v>328.05</v>
      </c>
      <c r="E471" s="244">
        <v>0.05</v>
      </c>
      <c r="F471" s="243">
        <f t="shared" si="257"/>
        <v>344.45250000000004</v>
      </c>
      <c r="G471" s="245" t="s">
        <v>25</v>
      </c>
      <c r="H471" s="246">
        <v>0</v>
      </c>
      <c r="I471" s="247">
        <f t="shared" si="258"/>
        <v>0</v>
      </c>
      <c r="J471" s="254">
        <v>0</v>
      </c>
      <c r="K471" s="255">
        <f t="shared" si="259"/>
        <v>0</v>
      </c>
      <c r="L471" s="256">
        <v>55</v>
      </c>
      <c r="M471" s="257">
        <f t="shared" si="260"/>
        <v>0</v>
      </c>
      <c r="N471" s="250">
        <f t="shared" si="261"/>
        <v>0</v>
      </c>
      <c r="O471" s="251"/>
      <c r="P471" s="18"/>
    </row>
    <row r="472" spans="1:77" s="2" customFormat="1" ht="15.75">
      <c r="A472" s="64">
        <f>IF(F472&lt;&gt;"",1+MAX($A$2:A471),"")</f>
        <v>397</v>
      </c>
      <c r="B472" s="313"/>
      <c r="C472" s="253" t="s">
        <v>1010</v>
      </c>
      <c r="D472" s="243">
        <v>6.0629999999999997</v>
      </c>
      <c r="E472" s="244">
        <v>0.05</v>
      </c>
      <c r="F472" s="243">
        <f t="shared" si="257"/>
        <v>6.3661500000000002</v>
      </c>
      <c r="G472" s="245" t="s">
        <v>25</v>
      </c>
      <c r="H472" s="246">
        <v>0</v>
      </c>
      <c r="I472" s="247">
        <f t="shared" si="258"/>
        <v>0</v>
      </c>
      <c r="J472" s="254">
        <v>0</v>
      </c>
      <c r="K472" s="255">
        <f t="shared" si="259"/>
        <v>0</v>
      </c>
      <c r="L472" s="256">
        <v>55</v>
      </c>
      <c r="M472" s="257">
        <f t="shared" si="260"/>
        <v>0</v>
      </c>
      <c r="N472" s="250">
        <f t="shared" si="261"/>
        <v>0</v>
      </c>
      <c r="O472" s="251"/>
      <c r="P472" s="18"/>
    </row>
    <row r="473" spans="1:77" s="41" customFormat="1" ht="15.75">
      <c r="A473" s="64">
        <f>IF(F473&lt;&gt;"",1+MAX($A$2:A472),"")</f>
        <v>398</v>
      </c>
      <c r="B473" s="313"/>
      <c r="C473" s="253" t="s">
        <v>362</v>
      </c>
      <c r="D473" s="243">
        <v>358.8</v>
      </c>
      <c r="E473" s="244">
        <v>0.05</v>
      </c>
      <c r="F473" s="243">
        <f t="shared" si="257"/>
        <v>376.74</v>
      </c>
      <c r="G473" s="245" t="s">
        <v>13</v>
      </c>
      <c r="H473" s="246">
        <v>0</v>
      </c>
      <c r="I473" s="247">
        <f t="shared" si="258"/>
        <v>0</v>
      </c>
      <c r="J473" s="254">
        <v>0</v>
      </c>
      <c r="K473" s="255">
        <f t="shared" si="259"/>
        <v>0</v>
      </c>
      <c r="L473" s="256">
        <v>55</v>
      </c>
      <c r="M473" s="257">
        <f t="shared" si="260"/>
        <v>0</v>
      </c>
      <c r="N473" s="250">
        <f t="shared" si="261"/>
        <v>0</v>
      </c>
      <c r="O473" s="251"/>
      <c r="P473" s="18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</row>
    <row r="474" spans="1:77" s="41" customFormat="1" ht="15.75">
      <c r="A474" s="64">
        <f>IF(F474&lt;&gt;"",1+MAX($A$2:A473),"")</f>
        <v>399</v>
      </c>
      <c r="B474" s="313"/>
      <c r="C474" s="253" t="s">
        <v>363</v>
      </c>
      <c r="D474" s="243">
        <v>318</v>
      </c>
      <c r="E474" s="244">
        <v>0.05</v>
      </c>
      <c r="F474" s="243">
        <f t="shared" si="257"/>
        <v>333.90000000000003</v>
      </c>
      <c r="G474" s="245" t="s">
        <v>13</v>
      </c>
      <c r="H474" s="246">
        <v>0</v>
      </c>
      <c r="I474" s="247">
        <f t="shared" si="258"/>
        <v>0</v>
      </c>
      <c r="J474" s="254">
        <v>0</v>
      </c>
      <c r="K474" s="255">
        <f t="shared" si="259"/>
        <v>0</v>
      </c>
      <c r="L474" s="256">
        <v>55</v>
      </c>
      <c r="M474" s="257">
        <f t="shared" si="260"/>
        <v>0</v>
      </c>
      <c r="N474" s="250">
        <f t="shared" si="261"/>
        <v>0</v>
      </c>
      <c r="O474" s="251"/>
      <c r="P474" s="18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</row>
    <row r="475" spans="1:77" s="41" customFormat="1" ht="15.75">
      <c r="A475" s="64" t="str">
        <f>IF(F475&lt;&gt;"",1+MAX($A$2:A474),"")</f>
        <v/>
      </c>
      <c r="B475" s="313"/>
      <c r="C475" s="252" t="s">
        <v>364</v>
      </c>
      <c r="D475" s="243"/>
      <c r="E475" s="244"/>
      <c r="F475" s="243"/>
      <c r="G475" s="245"/>
      <c r="H475" s="246"/>
      <c r="I475" s="247"/>
      <c r="J475" s="247"/>
      <c r="K475" s="247"/>
      <c r="L475" s="256"/>
      <c r="M475" s="249"/>
      <c r="N475" s="250"/>
      <c r="O475" s="251"/>
      <c r="P475" s="18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</row>
    <row r="476" spans="1:77" s="41" customFormat="1" ht="15.75">
      <c r="A476" s="64">
        <f>IF(F476&lt;&gt;"",1+MAX($A$2:A475),"")</f>
        <v>400</v>
      </c>
      <c r="B476" s="313"/>
      <c r="C476" s="253" t="s">
        <v>1011</v>
      </c>
      <c r="D476" s="243">
        <v>1</v>
      </c>
      <c r="E476" s="244">
        <v>0</v>
      </c>
      <c r="F476" s="243">
        <f t="shared" si="257"/>
        <v>1</v>
      </c>
      <c r="G476" s="245" t="s">
        <v>14</v>
      </c>
      <c r="H476" s="246">
        <v>0</v>
      </c>
      <c r="I476" s="247">
        <f t="shared" ref="I476:I480" si="262">H476*F476</f>
        <v>0</v>
      </c>
      <c r="J476" s="254">
        <v>0</v>
      </c>
      <c r="K476" s="255">
        <f t="shared" ref="K476:K480" si="263">J476*F476</f>
        <v>0</v>
      </c>
      <c r="L476" s="256">
        <v>55</v>
      </c>
      <c r="M476" s="257">
        <f t="shared" ref="M476:M480" si="264">L476*K476</f>
        <v>0</v>
      </c>
      <c r="N476" s="250">
        <f t="shared" ref="N476:N480" si="265">M476+I476</f>
        <v>0</v>
      </c>
      <c r="O476" s="251"/>
      <c r="P476" s="18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</row>
    <row r="477" spans="1:77" s="41" customFormat="1" ht="15.75">
      <c r="A477" s="64">
        <f>IF(F477&lt;&gt;"",1+MAX($A$2:A476),"")</f>
        <v>401</v>
      </c>
      <c r="B477" s="313"/>
      <c r="C477" s="253" t="s">
        <v>1012</v>
      </c>
      <c r="D477" s="243">
        <v>1</v>
      </c>
      <c r="E477" s="244">
        <v>0</v>
      </c>
      <c r="F477" s="243">
        <f t="shared" si="257"/>
        <v>1</v>
      </c>
      <c r="G477" s="245" t="s">
        <v>14</v>
      </c>
      <c r="H477" s="246">
        <v>0</v>
      </c>
      <c r="I477" s="247">
        <f t="shared" si="262"/>
        <v>0</v>
      </c>
      <c r="J477" s="254">
        <v>0</v>
      </c>
      <c r="K477" s="255">
        <f t="shared" si="263"/>
        <v>0</v>
      </c>
      <c r="L477" s="256">
        <v>55</v>
      </c>
      <c r="M477" s="257">
        <f t="shared" si="264"/>
        <v>0</v>
      </c>
      <c r="N477" s="250">
        <f t="shared" si="265"/>
        <v>0</v>
      </c>
      <c r="O477" s="251"/>
      <c r="P477" s="18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</row>
    <row r="478" spans="1:77" s="41" customFormat="1" ht="15.75">
      <c r="A478" s="64">
        <f>IF(F478&lt;&gt;"",1+MAX($A$2:A477),"")</f>
        <v>402</v>
      </c>
      <c r="B478" s="313"/>
      <c r="C478" s="253" t="s">
        <v>1013</v>
      </c>
      <c r="D478" s="243">
        <v>1</v>
      </c>
      <c r="E478" s="244">
        <v>0</v>
      </c>
      <c r="F478" s="243">
        <f t="shared" si="257"/>
        <v>1</v>
      </c>
      <c r="G478" s="245" t="s">
        <v>14</v>
      </c>
      <c r="H478" s="246">
        <v>0</v>
      </c>
      <c r="I478" s="247">
        <f t="shared" si="262"/>
        <v>0</v>
      </c>
      <c r="J478" s="254">
        <v>0</v>
      </c>
      <c r="K478" s="255">
        <f t="shared" si="263"/>
        <v>0</v>
      </c>
      <c r="L478" s="256">
        <v>55</v>
      </c>
      <c r="M478" s="257">
        <f t="shared" si="264"/>
        <v>0</v>
      </c>
      <c r="N478" s="250">
        <f t="shared" si="265"/>
        <v>0</v>
      </c>
      <c r="O478" s="251"/>
      <c r="P478" s="18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</row>
    <row r="479" spans="1:77" s="41" customFormat="1" ht="15.75">
      <c r="A479" s="64">
        <f>IF(F479&lt;&gt;"",1+MAX($A$2:A478),"")</f>
        <v>403</v>
      </c>
      <c r="B479" s="313"/>
      <c r="C479" s="253" t="s">
        <v>1014</v>
      </c>
      <c r="D479" s="243">
        <v>16</v>
      </c>
      <c r="E479" s="244">
        <v>0</v>
      </c>
      <c r="F479" s="243">
        <f t="shared" si="257"/>
        <v>16</v>
      </c>
      <c r="G479" s="245" t="s">
        <v>14</v>
      </c>
      <c r="H479" s="246">
        <v>0</v>
      </c>
      <c r="I479" s="247">
        <f t="shared" si="262"/>
        <v>0</v>
      </c>
      <c r="J479" s="254">
        <v>0</v>
      </c>
      <c r="K479" s="255">
        <f t="shared" si="263"/>
        <v>0</v>
      </c>
      <c r="L479" s="256">
        <v>55</v>
      </c>
      <c r="M479" s="257">
        <f t="shared" si="264"/>
        <v>0</v>
      </c>
      <c r="N479" s="250">
        <f t="shared" si="265"/>
        <v>0</v>
      </c>
      <c r="O479" s="251"/>
      <c r="P479" s="18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</row>
    <row r="480" spans="1:77" s="41" customFormat="1" ht="15.75">
      <c r="A480" s="64">
        <f>IF(F480&lt;&gt;"",1+MAX($A$2:A479),"")</f>
        <v>404</v>
      </c>
      <c r="B480" s="313"/>
      <c r="C480" s="253" t="s">
        <v>1015</v>
      </c>
      <c r="D480" s="243">
        <v>4</v>
      </c>
      <c r="E480" s="244">
        <v>0</v>
      </c>
      <c r="F480" s="243">
        <f t="shared" si="257"/>
        <v>4</v>
      </c>
      <c r="G480" s="245" t="s">
        <v>14</v>
      </c>
      <c r="H480" s="246">
        <v>0</v>
      </c>
      <c r="I480" s="247">
        <f t="shared" si="262"/>
        <v>0</v>
      </c>
      <c r="J480" s="254">
        <v>0</v>
      </c>
      <c r="K480" s="255">
        <f t="shared" si="263"/>
        <v>0</v>
      </c>
      <c r="L480" s="256">
        <v>55</v>
      </c>
      <c r="M480" s="257">
        <f t="shared" si="264"/>
        <v>0</v>
      </c>
      <c r="N480" s="250">
        <f t="shared" si="265"/>
        <v>0</v>
      </c>
      <c r="O480" s="251"/>
      <c r="P480" s="18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</row>
    <row r="481" spans="1:77" s="41" customFormat="1" ht="15.75">
      <c r="A481" s="64" t="str">
        <f>IF(F481&lt;&gt;"",1+MAX($A$2:A480),"")</f>
        <v/>
      </c>
      <c r="B481" s="313"/>
      <c r="C481" s="252" t="s">
        <v>365</v>
      </c>
      <c r="D481" s="188"/>
      <c r="E481" s="189"/>
      <c r="F481" s="188"/>
      <c r="G481" s="190"/>
      <c r="H481" s="191"/>
      <c r="I481" s="192"/>
      <c r="J481" s="192"/>
      <c r="K481" s="192"/>
      <c r="L481" s="195"/>
      <c r="M481" s="229"/>
      <c r="N481" s="197"/>
      <c r="O481" s="198"/>
      <c r="P481" s="18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</row>
    <row r="482" spans="1:77" s="41" customFormat="1" ht="15.75">
      <c r="A482" s="64">
        <f>IF(F482&lt;&gt;"",1+MAX($A$2:A481),"")</f>
        <v>405</v>
      </c>
      <c r="B482" s="350"/>
      <c r="C482" s="226" t="s">
        <v>366</v>
      </c>
      <c r="D482" s="188">
        <f>78.94+76.46*8+87.89+72.82*4+74.7+54.36+88.55</f>
        <v>1287.3999999999999</v>
      </c>
      <c r="E482" s="189">
        <v>0.05</v>
      </c>
      <c r="F482" s="188">
        <f t="shared" ref="F482" si="266">(1+E482)*D482</f>
        <v>1351.77</v>
      </c>
      <c r="G482" s="190" t="s">
        <v>13</v>
      </c>
      <c r="H482" s="191">
        <v>0</v>
      </c>
      <c r="I482" s="192">
        <f t="shared" ref="I482" si="267">H482*F482</f>
        <v>0</v>
      </c>
      <c r="J482" s="193">
        <v>0</v>
      </c>
      <c r="K482" s="194">
        <f t="shared" ref="K482" si="268">J482*F482</f>
        <v>0</v>
      </c>
      <c r="L482" s="195">
        <v>55</v>
      </c>
      <c r="M482" s="196">
        <f t="shared" ref="M482" si="269">L482*K482</f>
        <v>0</v>
      </c>
      <c r="N482" s="197">
        <f t="shared" ref="N482" si="270">M482+I482</f>
        <v>0</v>
      </c>
      <c r="O482" s="198"/>
      <c r="P482" s="18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</row>
    <row r="483" spans="1:77" s="41" customFormat="1" ht="15.75">
      <c r="A483" s="64" t="str">
        <f>IF(F483&lt;&gt;"",1+MAX($A$2:A482),"")</f>
        <v/>
      </c>
      <c r="B483" s="259"/>
      <c r="C483" s="227"/>
      <c r="D483" s="188"/>
      <c r="E483" s="189"/>
      <c r="F483" s="188"/>
      <c r="G483" s="190"/>
      <c r="H483" s="191"/>
      <c r="I483" s="192"/>
      <c r="J483" s="192"/>
      <c r="K483" s="192"/>
      <c r="L483" s="228"/>
      <c r="M483" s="229"/>
      <c r="N483" s="197"/>
      <c r="O483" s="198"/>
      <c r="P483" s="18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</row>
    <row r="484" spans="1:77" s="42" customFormat="1" ht="18.75">
      <c r="A484" s="310" t="s">
        <v>1016</v>
      </c>
      <c r="B484" s="311"/>
      <c r="C484" s="311"/>
      <c r="D484" s="311"/>
      <c r="E484" s="311"/>
      <c r="F484" s="311"/>
      <c r="G484" s="311"/>
      <c r="H484" s="311"/>
      <c r="I484" s="311"/>
      <c r="J484" s="311"/>
      <c r="K484" s="311"/>
      <c r="L484" s="311"/>
      <c r="M484" s="311"/>
      <c r="N484" s="311"/>
      <c r="O484" s="311"/>
      <c r="P484" s="240">
        <f>SUM(N485:N492)</f>
        <v>0</v>
      </c>
      <c r="Q484" s="2"/>
      <c r="R484" s="2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/>
      <c r="AZ484"/>
      <c r="BA484"/>
      <c r="BB484"/>
      <c r="BC484"/>
      <c r="BD484"/>
      <c r="BE484"/>
      <c r="BF484"/>
      <c r="BG484"/>
      <c r="BH484"/>
      <c r="BI484"/>
      <c r="BJ484"/>
      <c r="BK484"/>
      <c r="BL484"/>
      <c r="BM484"/>
      <c r="BN484"/>
      <c r="BO484"/>
      <c r="BP484"/>
      <c r="BQ484"/>
      <c r="BR484"/>
    </row>
    <row r="485" spans="1:77" s="41" customFormat="1" ht="15.75">
      <c r="A485" s="241" t="str">
        <f>IF(F485&lt;&gt;"",1+MAX($A$2:A484),"")</f>
        <v/>
      </c>
      <c r="B485" s="279"/>
      <c r="C485" s="242"/>
      <c r="D485" s="243"/>
      <c r="E485" s="244"/>
      <c r="F485" s="243"/>
      <c r="G485" s="245"/>
      <c r="H485" s="246"/>
      <c r="I485" s="247"/>
      <c r="J485" s="247"/>
      <c r="K485" s="247"/>
      <c r="L485" s="248"/>
      <c r="M485" s="249"/>
      <c r="N485" s="250"/>
      <c r="O485" s="251"/>
      <c r="P485" s="18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</row>
    <row r="486" spans="1:77" s="41" customFormat="1" ht="15.75">
      <c r="A486" s="241" t="str">
        <f>IF(F486&lt;&gt;"",1+MAX($A$2:A485),"")</f>
        <v/>
      </c>
      <c r="B486" s="346" t="s">
        <v>1017</v>
      </c>
      <c r="C486" s="252" t="s">
        <v>1018</v>
      </c>
      <c r="D486" s="243"/>
      <c r="E486" s="244"/>
      <c r="F486" s="243"/>
      <c r="G486" s="245"/>
      <c r="H486" s="246"/>
      <c r="I486" s="247"/>
      <c r="J486" s="247"/>
      <c r="K486" s="247"/>
      <c r="L486" s="256"/>
      <c r="M486" s="249"/>
      <c r="N486" s="250"/>
      <c r="O486" s="251"/>
      <c r="P486" s="18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</row>
    <row r="487" spans="1:77" s="41" customFormat="1" ht="31.5">
      <c r="A487" s="64">
        <f>IF(F487&lt;&gt;"",1+MAX($A$2:A486),"")</f>
        <v>406</v>
      </c>
      <c r="B487" s="313"/>
      <c r="C487" s="253" t="s">
        <v>1019</v>
      </c>
      <c r="D487" s="243">
        <v>1</v>
      </c>
      <c r="E487" s="244">
        <v>0</v>
      </c>
      <c r="F487" s="243">
        <f t="shared" ref="F487:F488" si="271">(1+E487)*D487</f>
        <v>1</v>
      </c>
      <c r="G487" s="245" t="s">
        <v>14</v>
      </c>
      <c r="H487" s="246">
        <v>0</v>
      </c>
      <c r="I487" s="247">
        <f t="shared" ref="I487:I488" si="272">H487*F487</f>
        <v>0</v>
      </c>
      <c r="J487" s="254">
        <v>0</v>
      </c>
      <c r="K487" s="255">
        <f t="shared" ref="K487:K488" si="273">J487*F487</f>
        <v>0</v>
      </c>
      <c r="L487" s="256">
        <v>55</v>
      </c>
      <c r="M487" s="257">
        <f t="shared" ref="M487:M488" si="274">L487*K487</f>
        <v>0</v>
      </c>
      <c r="N487" s="250">
        <f t="shared" ref="N487:N488" si="275">M487+I487</f>
        <v>0</v>
      </c>
      <c r="O487" s="251"/>
      <c r="P487" s="18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</row>
    <row r="488" spans="1:77" s="41" customFormat="1" ht="31.5">
      <c r="A488" s="64">
        <f>IF(F488&lt;&gt;"",1+MAX($A$2:A487),"")</f>
        <v>407</v>
      </c>
      <c r="B488" s="313"/>
      <c r="C488" s="253" t="s">
        <v>1020</v>
      </c>
      <c r="D488" s="243">
        <v>1</v>
      </c>
      <c r="E488" s="244">
        <v>0</v>
      </c>
      <c r="F488" s="243">
        <f t="shared" si="271"/>
        <v>1</v>
      </c>
      <c r="G488" s="245" t="s">
        <v>14</v>
      </c>
      <c r="H488" s="246">
        <v>0</v>
      </c>
      <c r="I488" s="247">
        <f t="shared" si="272"/>
        <v>0</v>
      </c>
      <c r="J488" s="254">
        <v>0</v>
      </c>
      <c r="K488" s="255">
        <f t="shared" si="273"/>
        <v>0</v>
      </c>
      <c r="L488" s="256">
        <v>55</v>
      </c>
      <c r="M488" s="257">
        <f t="shared" si="274"/>
        <v>0</v>
      </c>
      <c r="N488" s="250">
        <f t="shared" si="275"/>
        <v>0</v>
      </c>
      <c r="O488" s="251"/>
      <c r="P488" s="18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</row>
    <row r="489" spans="1:77" s="41" customFormat="1" ht="15.75">
      <c r="A489" s="64" t="str">
        <f>IF(F489&lt;&gt;"",1+MAX($A$2:A488),"")</f>
        <v/>
      </c>
      <c r="B489" s="313"/>
      <c r="C489" s="252" t="s">
        <v>1021</v>
      </c>
      <c r="D489" s="243"/>
      <c r="E489" s="244"/>
      <c r="F489" s="243"/>
      <c r="G489" s="245"/>
      <c r="H489" s="246"/>
      <c r="I489" s="247"/>
      <c r="J489" s="247"/>
      <c r="K489" s="247"/>
      <c r="L489" s="256"/>
      <c r="M489" s="249"/>
      <c r="N489" s="250"/>
      <c r="O489" s="251"/>
      <c r="P489" s="18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</row>
    <row r="490" spans="1:77" s="41" customFormat="1" ht="15.75">
      <c r="A490" s="64">
        <f>IF(F490&lt;&gt;"",1+MAX($A$2:A489),"")</f>
        <v>408</v>
      </c>
      <c r="B490" s="349"/>
      <c r="C490" s="253" t="s">
        <v>1022</v>
      </c>
      <c r="D490" s="243">
        <v>1</v>
      </c>
      <c r="E490" s="244">
        <v>0</v>
      </c>
      <c r="F490" s="243">
        <f t="shared" ref="F490" si="276">(1+E490)*D490</f>
        <v>1</v>
      </c>
      <c r="G490" s="245" t="s">
        <v>14</v>
      </c>
      <c r="H490" s="246">
        <v>0</v>
      </c>
      <c r="I490" s="247">
        <f t="shared" ref="I490" si="277">H490*F490</f>
        <v>0</v>
      </c>
      <c r="J490" s="254">
        <v>0</v>
      </c>
      <c r="K490" s="255">
        <f t="shared" ref="K490" si="278">J490*F490</f>
        <v>0</v>
      </c>
      <c r="L490" s="256">
        <v>55</v>
      </c>
      <c r="M490" s="257">
        <f t="shared" ref="M490" si="279">L490*K490</f>
        <v>0</v>
      </c>
      <c r="N490" s="250">
        <f t="shared" ref="N490" si="280">M490+I490</f>
        <v>0</v>
      </c>
      <c r="O490" s="251"/>
      <c r="P490" s="18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</row>
    <row r="491" spans="1:77" s="41" customFormat="1" ht="15.75">
      <c r="A491" s="241" t="str">
        <f>IF(F491&lt;&gt;"",1+MAX($A$2:A490),"")</f>
        <v/>
      </c>
      <c r="B491" s="279"/>
      <c r="C491" s="242"/>
      <c r="D491" s="243"/>
      <c r="E491" s="244"/>
      <c r="F491" s="243"/>
      <c r="G491" s="245"/>
      <c r="H491" s="246"/>
      <c r="I491" s="247"/>
      <c r="J491" s="247"/>
      <c r="K491" s="247"/>
      <c r="L491" s="248"/>
      <c r="M491" s="249"/>
      <c r="N491" s="250"/>
      <c r="O491" s="251"/>
      <c r="P491" s="18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</row>
    <row r="492" spans="1:77" s="42" customFormat="1" ht="18.75">
      <c r="A492" s="310" t="s">
        <v>367</v>
      </c>
      <c r="B492" s="311"/>
      <c r="C492" s="311"/>
      <c r="D492" s="311"/>
      <c r="E492" s="311"/>
      <c r="F492" s="311"/>
      <c r="G492" s="311"/>
      <c r="H492" s="311"/>
      <c r="I492" s="311"/>
      <c r="J492" s="311"/>
      <c r="K492" s="311"/>
      <c r="L492" s="311"/>
      <c r="M492" s="311"/>
      <c r="N492" s="311"/>
      <c r="O492" s="311"/>
      <c r="P492" s="240">
        <f>SUM(N493:N516)</f>
        <v>0</v>
      </c>
      <c r="Q492" s="2"/>
      <c r="R492" s="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  <c r="AY492"/>
      <c r="AZ492"/>
      <c r="BA492"/>
      <c r="BB492"/>
      <c r="BC492"/>
      <c r="BD492"/>
      <c r="BE492"/>
      <c r="BF492"/>
      <c r="BG492"/>
      <c r="BH492"/>
      <c r="BI492"/>
      <c r="BJ492"/>
      <c r="BK492"/>
      <c r="BL492"/>
      <c r="BM492"/>
      <c r="BN492"/>
      <c r="BO492"/>
      <c r="BP492"/>
      <c r="BQ492"/>
      <c r="BR492"/>
    </row>
    <row r="493" spans="1:77" s="41" customFormat="1" ht="15.75">
      <c r="A493" s="64" t="str">
        <f>IF(F493&lt;&gt;"",1+MAX($A$2:A492),"")</f>
        <v/>
      </c>
      <c r="B493" s="230"/>
      <c r="C493" s="227"/>
      <c r="D493" s="188"/>
      <c r="E493" s="189"/>
      <c r="F493" s="188"/>
      <c r="G493" s="190"/>
      <c r="H493" s="191"/>
      <c r="I493" s="192"/>
      <c r="J493" s="192"/>
      <c r="K493" s="192"/>
      <c r="L493" s="228"/>
      <c r="M493" s="229"/>
      <c r="N493" s="197"/>
      <c r="O493" s="198"/>
      <c r="P493" s="18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</row>
    <row r="494" spans="1:77" s="41" customFormat="1" ht="15.75">
      <c r="A494" s="64" t="str">
        <f>IF(F494&lt;&gt;"",1+MAX($A$2:A462),"")</f>
        <v/>
      </c>
      <c r="B494" s="260"/>
      <c r="C494" s="252" t="s">
        <v>368</v>
      </c>
      <c r="D494" s="188"/>
      <c r="E494" s="189"/>
      <c r="F494" s="188"/>
      <c r="G494" s="190"/>
      <c r="H494" s="191"/>
      <c r="I494" s="192"/>
      <c r="J494" s="192"/>
      <c r="K494" s="192"/>
      <c r="L494" s="195"/>
      <c r="M494" s="229"/>
      <c r="N494" s="197"/>
      <c r="O494" s="198"/>
      <c r="P494" s="18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</row>
    <row r="495" spans="1:77" s="41" customFormat="1" ht="15.75">
      <c r="A495" s="64">
        <f>IF(F495&lt;&gt;"",1+MAX($A$2:A494),"")</f>
        <v>409</v>
      </c>
      <c r="B495" s="261"/>
      <c r="C495" s="262" t="s">
        <v>369</v>
      </c>
      <c r="D495" s="188">
        <v>1845</v>
      </c>
      <c r="E495" s="189">
        <v>0</v>
      </c>
      <c r="F495" s="188">
        <f t="shared" ref="F495:F501" si="281">(1+E495)*D495</f>
        <v>1845</v>
      </c>
      <c r="G495" s="190" t="s">
        <v>14</v>
      </c>
      <c r="H495" s="191">
        <v>0</v>
      </c>
      <c r="I495" s="192">
        <f t="shared" ref="I495:I501" si="282">H495*F495</f>
        <v>0</v>
      </c>
      <c r="J495" s="193">
        <v>0</v>
      </c>
      <c r="K495" s="194">
        <f t="shared" ref="K495:K501" si="283">J495*F495</f>
        <v>0</v>
      </c>
      <c r="L495" s="195">
        <v>55</v>
      </c>
      <c r="M495" s="196">
        <f t="shared" ref="M495:M501" si="284">L495*K495</f>
        <v>0</v>
      </c>
      <c r="N495" s="197">
        <f t="shared" ref="N495:N501" si="285">M495+I495</f>
        <v>0</v>
      </c>
      <c r="O495" s="198"/>
      <c r="P495" s="18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</row>
    <row r="496" spans="1:77" s="41" customFormat="1" ht="15.75">
      <c r="A496" s="64">
        <f>IF(F496&lt;&gt;"",1+MAX($A$2:A495),"")</f>
        <v>410</v>
      </c>
      <c r="B496" s="261"/>
      <c r="C496" s="262" t="s">
        <v>370</v>
      </c>
      <c r="D496" s="188">
        <v>73.349999999999994</v>
      </c>
      <c r="E496" s="189">
        <v>0</v>
      </c>
      <c r="F496" s="188">
        <f t="shared" si="281"/>
        <v>73.349999999999994</v>
      </c>
      <c r="G496" s="190" t="s">
        <v>14</v>
      </c>
      <c r="H496" s="191">
        <v>0</v>
      </c>
      <c r="I496" s="192">
        <f t="shared" si="282"/>
        <v>0</v>
      </c>
      <c r="J496" s="193">
        <v>0</v>
      </c>
      <c r="K496" s="194">
        <f t="shared" si="283"/>
        <v>0</v>
      </c>
      <c r="L496" s="195">
        <v>55</v>
      </c>
      <c r="M496" s="196">
        <f t="shared" si="284"/>
        <v>0</v>
      </c>
      <c r="N496" s="197">
        <f t="shared" si="285"/>
        <v>0</v>
      </c>
      <c r="O496" s="198"/>
      <c r="P496" s="18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</row>
    <row r="497" spans="1:77" s="41" customFormat="1" ht="15.75">
      <c r="A497" s="64">
        <f>IF(F497&lt;&gt;"",1+MAX($A$2:A496),"")</f>
        <v>411</v>
      </c>
      <c r="B497" s="261"/>
      <c r="C497" s="262" t="s">
        <v>371</v>
      </c>
      <c r="D497" s="188">
        <v>170.48</v>
      </c>
      <c r="E497" s="189">
        <v>0</v>
      </c>
      <c r="F497" s="188">
        <f t="shared" si="281"/>
        <v>170.48</v>
      </c>
      <c r="G497" s="190" t="s">
        <v>14</v>
      </c>
      <c r="H497" s="191">
        <v>0</v>
      </c>
      <c r="I497" s="192">
        <f t="shared" si="282"/>
        <v>0</v>
      </c>
      <c r="J497" s="193">
        <v>0</v>
      </c>
      <c r="K497" s="194">
        <f t="shared" si="283"/>
        <v>0</v>
      </c>
      <c r="L497" s="195">
        <v>55</v>
      </c>
      <c r="M497" s="196">
        <f t="shared" si="284"/>
        <v>0</v>
      </c>
      <c r="N497" s="197">
        <f t="shared" si="285"/>
        <v>0</v>
      </c>
      <c r="O497" s="198"/>
      <c r="P497" s="18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</row>
    <row r="498" spans="1:77" s="41" customFormat="1" ht="15.75">
      <c r="A498" s="64">
        <f>IF(F498&lt;&gt;"",1+MAX($A$2:A497),"")</f>
        <v>412</v>
      </c>
      <c r="B498" s="261"/>
      <c r="C498" s="262" t="s">
        <v>372</v>
      </c>
      <c r="D498" s="188">
        <v>1934</v>
      </c>
      <c r="E498" s="189">
        <v>0</v>
      </c>
      <c r="F498" s="188">
        <f t="shared" si="281"/>
        <v>1934</v>
      </c>
      <c r="G498" s="190" t="s">
        <v>14</v>
      </c>
      <c r="H498" s="191">
        <v>0</v>
      </c>
      <c r="I498" s="192">
        <f t="shared" si="282"/>
        <v>0</v>
      </c>
      <c r="J498" s="193">
        <v>0</v>
      </c>
      <c r="K498" s="194">
        <f t="shared" si="283"/>
        <v>0</v>
      </c>
      <c r="L498" s="195">
        <v>55</v>
      </c>
      <c r="M498" s="196">
        <f t="shared" si="284"/>
        <v>0</v>
      </c>
      <c r="N498" s="197">
        <f t="shared" si="285"/>
        <v>0</v>
      </c>
      <c r="O498" s="198"/>
      <c r="P498" s="18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</row>
    <row r="499" spans="1:77" s="41" customFormat="1" ht="15.75">
      <c r="A499" s="64">
        <f>IF(F499&lt;&gt;"",1+MAX($A$2:A498),"")</f>
        <v>413</v>
      </c>
      <c r="B499" s="261"/>
      <c r="C499" s="262" t="s">
        <v>373</v>
      </c>
      <c r="D499" s="188">
        <v>75</v>
      </c>
      <c r="E499" s="189">
        <v>0</v>
      </c>
      <c r="F499" s="188">
        <f t="shared" si="281"/>
        <v>75</v>
      </c>
      <c r="G499" s="190" t="s">
        <v>14</v>
      </c>
      <c r="H499" s="191">
        <v>0</v>
      </c>
      <c r="I499" s="192">
        <f t="shared" si="282"/>
        <v>0</v>
      </c>
      <c r="J499" s="193">
        <v>0</v>
      </c>
      <c r="K499" s="194">
        <f t="shared" si="283"/>
        <v>0</v>
      </c>
      <c r="L499" s="195">
        <v>55</v>
      </c>
      <c r="M499" s="196">
        <f t="shared" si="284"/>
        <v>0</v>
      </c>
      <c r="N499" s="197">
        <f t="shared" si="285"/>
        <v>0</v>
      </c>
      <c r="O499" s="198"/>
      <c r="P499" s="18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</row>
    <row r="500" spans="1:77" s="41" customFormat="1" ht="15.75">
      <c r="A500" s="64">
        <f>IF(F500&lt;&gt;"",1+MAX($A$2:A499),"")</f>
        <v>414</v>
      </c>
      <c r="B500" s="261"/>
      <c r="C500" s="262" t="s">
        <v>374</v>
      </c>
      <c r="D500" s="188">
        <v>58.08</v>
      </c>
      <c r="E500" s="189">
        <v>0</v>
      </c>
      <c r="F500" s="188">
        <f t="shared" si="281"/>
        <v>58.08</v>
      </c>
      <c r="G500" s="190" t="s">
        <v>14</v>
      </c>
      <c r="H500" s="191">
        <v>0</v>
      </c>
      <c r="I500" s="192">
        <f t="shared" si="282"/>
        <v>0</v>
      </c>
      <c r="J500" s="193">
        <v>0</v>
      </c>
      <c r="K500" s="194">
        <f t="shared" si="283"/>
        <v>0</v>
      </c>
      <c r="L500" s="195">
        <v>55</v>
      </c>
      <c r="M500" s="196">
        <f t="shared" si="284"/>
        <v>0</v>
      </c>
      <c r="N500" s="197">
        <f t="shared" si="285"/>
        <v>0</v>
      </c>
      <c r="O500" s="198"/>
      <c r="P500" s="18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</row>
    <row r="501" spans="1:77" s="41" customFormat="1" ht="15.75">
      <c r="A501" s="64">
        <f>IF(F501&lt;&gt;"",1+MAX($A$2:A500),"")</f>
        <v>415</v>
      </c>
      <c r="B501" s="261"/>
      <c r="C501" s="262" t="s">
        <v>375</v>
      </c>
      <c r="D501" s="188">
        <v>630</v>
      </c>
      <c r="E501" s="189">
        <v>0</v>
      </c>
      <c r="F501" s="188">
        <f t="shared" si="281"/>
        <v>630</v>
      </c>
      <c r="G501" s="190" t="s">
        <v>14</v>
      </c>
      <c r="H501" s="191">
        <v>0</v>
      </c>
      <c r="I501" s="192">
        <f t="shared" si="282"/>
        <v>0</v>
      </c>
      <c r="J501" s="193">
        <v>0</v>
      </c>
      <c r="K501" s="194">
        <f t="shared" si="283"/>
        <v>0</v>
      </c>
      <c r="L501" s="195">
        <v>55</v>
      </c>
      <c r="M501" s="196">
        <f t="shared" si="284"/>
        <v>0</v>
      </c>
      <c r="N501" s="197">
        <f t="shared" si="285"/>
        <v>0</v>
      </c>
      <c r="O501" s="198"/>
      <c r="P501" s="18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</row>
    <row r="502" spans="1:77" s="41" customFormat="1" ht="15.75" customHeight="1">
      <c r="A502" s="64" t="str">
        <f>IF(F502&lt;&gt;"",1+MAX($A$2:A501),"")</f>
        <v/>
      </c>
      <c r="B502" s="258"/>
      <c r="C502" s="252" t="s">
        <v>376</v>
      </c>
      <c r="D502" s="188"/>
      <c r="E502" s="189"/>
      <c r="F502" s="188"/>
      <c r="G502" s="190"/>
      <c r="H502" s="191"/>
      <c r="I502" s="192"/>
      <c r="J502" s="192"/>
      <c r="K502" s="192"/>
      <c r="L502" s="195"/>
      <c r="M502" s="229"/>
      <c r="N502" s="197"/>
      <c r="O502" s="198"/>
      <c r="P502" s="18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</row>
    <row r="503" spans="1:77" s="41" customFormat="1" ht="31.5">
      <c r="A503" s="64">
        <f>IF(F503&lt;&gt;"",1+MAX($A$2:A502),"")</f>
        <v>416</v>
      </c>
      <c r="B503" s="239"/>
      <c r="C503" s="262" t="s">
        <v>377</v>
      </c>
      <c r="D503" s="188">
        <v>1</v>
      </c>
      <c r="E503" s="189">
        <v>0</v>
      </c>
      <c r="F503" s="188">
        <f t="shared" ref="F503:F504" si="286">(1+E503)*D503</f>
        <v>1</v>
      </c>
      <c r="G503" s="190" t="s">
        <v>14</v>
      </c>
      <c r="H503" s="191">
        <v>0</v>
      </c>
      <c r="I503" s="192">
        <f t="shared" ref="I503:I504" si="287">H503*F503</f>
        <v>0</v>
      </c>
      <c r="J503" s="193">
        <v>0</v>
      </c>
      <c r="K503" s="194">
        <f t="shared" ref="K503:K504" si="288">J503*F503</f>
        <v>0</v>
      </c>
      <c r="L503" s="195">
        <v>55</v>
      </c>
      <c r="M503" s="196">
        <f t="shared" ref="M503:M504" si="289">L503*K503</f>
        <v>0</v>
      </c>
      <c r="N503" s="197">
        <f t="shared" ref="N503:N504" si="290">M503+I503</f>
        <v>0</v>
      </c>
      <c r="O503" s="198"/>
      <c r="P503" s="18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</row>
    <row r="504" spans="1:77" s="41" customFormat="1" ht="31.5">
      <c r="A504" s="64">
        <f>IF(F504&lt;&gt;"",1+MAX($A$2:A503),"")</f>
        <v>417</v>
      </c>
      <c r="B504" s="239"/>
      <c r="C504" s="262" t="s">
        <v>378</v>
      </c>
      <c r="D504" s="188">
        <v>1</v>
      </c>
      <c r="E504" s="189">
        <v>0</v>
      </c>
      <c r="F504" s="188">
        <f t="shared" si="286"/>
        <v>1</v>
      </c>
      <c r="G504" s="190" t="s">
        <v>14</v>
      </c>
      <c r="H504" s="191">
        <v>0</v>
      </c>
      <c r="I504" s="192">
        <f t="shared" si="287"/>
        <v>0</v>
      </c>
      <c r="J504" s="193">
        <v>0</v>
      </c>
      <c r="K504" s="194">
        <f t="shared" si="288"/>
        <v>0</v>
      </c>
      <c r="L504" s="195">
        <v>55</v>
      </c>
      <c r="M504" s="196">
        <f t="shared" si="289"/>
        <v>0</v>
      </c>
      <c r="N504" s="197">
        <f t="shared" si="290"/>
        <v>0</v>
      </c>
      <c r="O504" s="198"/>
      <c r="P504" s="18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</row>
    <row r="505" spans="1:77" s="41" customFormat="1" ht="15.75">
      <c r="A505" s="64" t="str">
        <f>IF(F505&lt;&gt;"",1+MAX($A$2:A504),"")</f>
        <v/>
      </c>
      <c r="B505" s="260"/>
      <c r="C505" s="252" t="s">
        <v>379</v>
      </c>
      <c r="D505" s="188"/>
      <c r="E505" s="189"/>
      <c r="F505" s="188"/>
      <c r="G505" s="190"/>
      <c r="H505" s="191"/>
      <c r="I505" s="192"/>
      <c r="J505" s="192"/>
      <c r="K505" s="192"/>
      <c r="L505" s="195"/>
      <c r="M505" s="229"/>
      <c r="N505" s="197"/>
      <c r="O505" s="198"/>
      <c r="P505" s="18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</row>
    <row r="506" spans="1:77" s="41" customFormat="1" ht="15.75">
      <c r="A506" s="64">
        <f>IF(F506&lt;&gt;"",1+MAX($A$2:A505),"")</f>
        <v>418</v>
      </c>
      <c r="B506" s="261"/>
      <c r="C506" s="262" t="s">
        <v>380</v>
      </c>
      <c r="D506" s="188">
        <v>25</v>
      </c>
      <c r="E506" s="189">
        <v>0</v>
      </c>
      <c r="F506" s="188">
        <f t="shared" ref="F506:F508" si="291">(1+E506)*D506</f>
        <v>25</v>
      </c>
      <c r="G506" s="190" t="s">
        <v>14</v>
      </c>
      <c r="H506" s="191">
        <v>0</v>
      </c>
      <c r="I506" s="192">
        <f t="shared" ref="I506:I508" si="292">H506*F506</f>
        <v>0</v>
      </c>
      <c r="J506" s="193">
        <v>0</v>
      </c>
      <c r="K506" s="194">
        <f t="shared" ref="K506:K508" si="293">J506*F506</f>
        <v>0</v>
      </c>
      <c r="L506" s="195">
        <v>55</v>
      </c>
      <c r="M506" s="196">
        <f t="shared" ref="M506:M508" si="294">L506*K506</f>
        <v>0</v>
      </c>
      <c r="N506" s="197">
        <f t="shared" ref="N506:N508" si="295">M506+I506</f>
        <v>0</v>
      </c>
      <c r="O506" s="198"/>
      <c r="P506" s="18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</row>
    <row r="507" spans="1:77" s="41" customFormat="1" ht="15.75">
      <c r="A507" s="64">
        <f>IF(F507&lt;&gt;"",1+MAX($A$2:A506),"")</f>
        <v>419</v>
      </c>
      <c r="B507" s="261"/>
      <c r="C507" s="262" t="s">
        <v>381</v>
      </c>
      <c r="D507" s="188">
        <v>4</v>
      </c>
      <c r="E507" s="189">
        <v>0</v>
      </c>
      <c r="F507" s="188">
        <f t="shared" si="291"/>
        <v>4</v>
      </c>
      <c r="G507" s="190" t="s">
        <v>14</v>
      </c>
      <c r="H507" s="191">
        <v>0</v>
      </c>
      <c r="I507" s="192">
        <f t="shared" si="292"/>
        <v>0</v>
      </c>
      <c r="J507" s="193">
        <v>0</v>
      </c>
      <c r="K507" s="194">
        <f t="shared" si="293"/>
        <v>0</v>
      </c>
      <c r="L507" s="195">
        <v>55</v>
      </c>
      <c r="M507" s="196">
        <f t="shared" si="294"/>
        <v>0</v>
      </c>
      <c r="N507" s="197">
        <f t="shared" si="295"/>
        <v>0</v>
      </c>
      <c r="O507" s="198"/>
      <c r="P507" s="18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</row>
    <row r="508" spans="1:77" s="41" customFormat="1" ht="15.75">
      <c r="A508" s="64">
        <f>IF(F508&lt;&gt;"",1+MAX($A$2:A507),"")</f>
        <v>420</v>
      </c>
      <c r="B508" s="261"/>
      <c r="C508" s="262" t="s">
        <v>382</v>
      </c>
      <c r="D508" s="188">
        <v>2</v>
      </c>
      <c r="E508" s="189">
        <v>0</v>
      </c>
      <c r="F508" s="188">
        <f t="shared" si="291"/>
        <v>2</v>
      </c>
      <c r="G508" s="190" t="s">
        <v>14</v>
      </c>
      <c r="H508" s="191">
        <v>0</v>
      </c>
      <c r="I508" s="192">
        <f t="shared" si="292"/>
        <v>0</v>
      </c>
      <c r="J508" s="193">
        <v>0</v>
      </c>
      <c r="K508" s="194">
        <f t="shared" si="293"/>
        <v>0</v>
      </c>
      <c r="L508" s="195">
        <v>55</v>
      </c>
      <c r="M508" s="196">
        <f t="shared" si="294"/>
        <v>0</v>
      </c>
      <c r="N508" s="197">
        <f t="shared" si="295"/>
        <v>0</v>
      </c>
      <c r="O508" s="198"/>
      <c r="P508" s="18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</row>
    <row r="509" spans="1:77" s="41" customFormat="1" ht="15.75" customHeight="1">
      <c r="A509" s="64" t="str">
        <f>IF(F509&lt;&gt;"",1+MAX($A$2:A508),"")</f>
        <v/>
      </c>
      <c r="B509" s="258" t="s">
        <v>383</v>
      </c>
      <c r="C509" s="252" t="s">
        <v>384</v>
      </c>
      <c r="D509" s="188"/>
      <c r="E509" s="189"/>
      <c r="F509" s="188"/>
      <c r="G509" s="190"/>
      <c r="H509" s="191"/>
      <c r="I509" s="192"/>
      <c r="J509" s="192"/>
      <c r="K509" s="192"/>
      <c r="L509" s="195"/>
      <c r="M509" s="229"/>
      <c r="N509" s="197"/>
      <c r="O509" s="198"/>
      <c r="P509" s="18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</row>
    <row r="510" spans="1:77" s="41" customFormat="1" ht="15.75">
      <c r="A510" s="64">
        <f>IF(F510&lt;&gt;"",1+MAX($A$2:A509),"")</f>
        <v>421</v>
      </c>
      <c r="B510" s="239"/>
      <c r="C510" s="262" t="s">
        <v>385</v>
      </c>
      <c r="D510" s="188">
        <v>17</v>
      </c>
      <c r="E510" s="189">
        <v>0</v>
      </c>
      <c r="F510" s="188">
        <f t="shared" ref="F510:F515" si="296">(1+E510)*D510</f>
        <v>17</v>
      </c>
      <c r="G510" s="190" t="s">
        <v>14</v>
      </c>
      <c r="H510" s="191">
        <v>0</v>
      </c>
      <c r="I510" s="192">
        <f t="shared" ref="I510:I515" si="297">H510*F510</f>
        <v>0</v>
      </c>
      <c r="J510" s="193">
        <v>0</v>
      </c>
      <c r="K510" s="194">
        <f t="shared" ref="K510:K515" si="298">J510*F510</f>
        <v>0</v>
      </c>
      <c r="L510" s="195">
        <v>55</v>
      </c>
      <c r="M510" s="196">
        <f t="shared" ref="M510:M515" si="299">L510*K510</f>
        <v>0</v>
      </c>
      <c r="N510" s="197">
        <f t="shared" ref="N510:N515" si="300">M510+I510</f>
        <v>0</v>
      </c>
      <c r="O510" s="198"/>
      <c r="P510" s="18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</row>
    <row r="511" spans="1:77" s="41" customFormat="1" ht="15.75">
      <c r="A511" s="64">
        <f>IF(F511&lt;&gt;"",1+MAX($A$2:A510),"")</f>
        <v>422</v>
      </c>
      <c r="B511" s="239"/>
      <c r="C511" s="262" t="s">
        <v>386</v>
      </c>
      <c r="D511" s="188">
        <v>1</v>
      </c>
      <c r="E511" s="189">
        <v>0</v>
      </c>
      <c r="F511" s="188">
        <f t="shared" si="296"/>
        <v>1</v>
      </c>
      <c r="G511" s="190" t="s">
        <v>14</v>
      </c>
      <c r="H511" s="191">
        <v>0</v>
      </c>
      <c r="I511" s="192">
        <f t="shared" si="297"/>
        <v>0</v>
      </c>
      <c r="J511" s="193">
        <v>0</v>
      </c>
      <c r="K511" s="194">
        <f t="shared" si="298"/>
        <v>0</v>
      </c>
      <c r="L511" s="195">
        <v>55</v>
      </c>
      <c r="M511" s="196">
        <f t="shared" si="299"/>
        <v>0</v>
      </c>
      <c r="N511" s="197">
        <f t="shared" si="300"/>
        <v>0</v>
      </c>
      <c r="O511" s="198"/>
      <c r="P511" s="18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</row>
    <row r="512" spans="1:77" s="41" customFormat="1" ht="15.75">
      <c r="A512" s="64">
        <f>IF(F512&lt;&gt;"",1+MAX($A$2:A511),"")</f>
        <v>423</v>
      </c>
      <c r="B512" s="239"/>
      <c r="C512" s="262" t="s">
        <v>387</v>
      </c>
      <c r="D512" s="188">
        <v>3</v>
      </c>
      <c r="E512" s="189">
        <v>0</v>
      </c>
      <c r="F512" s="188">
        <f t="shared" si="296"/>
        <v>3</v>
      </c>
      <c r="G512" s="190" t="s">
        <v>14</v>
      </c>
      <c r="H512" s="191">
        <v>0</v>
      </c>
      <c r="I512" s="192">
        <f t="shared" si="297"/>
        <v>0</v>
      </c>
      <c r="J512" s="193">
        <v>0</v>
      </c>
      <c r="K512" s="194">
        <f t="shared" si="298"/>
        <v>0</v>
      </c>
      <c r="L512" s="195">
        <v>55</v>
      </c>
      <c r="M512" s="196">
        <f t="shared" si="299"/>
        <v>0</v>
      </c>
      <c r="N512" s="197">
        <f t="shared" si="300"/>
        <v>0</v>
      </c>
      <c r="O512" s="198"/>
      <c r="P512" s="18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</row>
    <row r="513" spans="1:77" s="41" customFormat="1" ht="15.75">
      <c r="A513" s="64">
        <f>IF(F513&lt;&gt;"",1+MAX($A$2:A512),"")</f>
        <v>424</v>
      </c>
      <c r="B513" s="239"/>
      <c r="C513" s="262" t="s">
        <v>388</v>
      </c>
      <c r="D513" s="188">
        <v>78</v>
      </c>
      <c r="E513" s="189">
        <v>0</v>
      </c>
      <c r="F513" s="188">
        <f t="shared" si="296"/>
        <v>78</v>
      </c>
      <c r="G513" s="190" t="s">
        <v>14</v>
      </c>
      <c r="H513" s="191">
        <v>0</v>
      </c>
      <c r="I513" s="192">
        <f t="shared" si="297"/>
        <v>0</v>
      </c>
      <c r="J513" s="193">
        <v>0</v>
      </c>
      <c r="K513" s="194">
        <f t="shared" si="298"/>
        <v>0</v>
      </c>
      <c r="L513" s="195">
        <v>55</v>
      </c>
      <c r="M513" s="196">
        <f t="shared" si="299"/>
        <v>0</v>
      </c>
      <c r="N513" s="197">
        <f t="shared" si="300"/>
        <v>0</v>
      </c>
      <c r="O513" s="198"/>
      <c r="P513" s="18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</row>
    <row r="514" spans="1:77" s="41" customFormat="1" ht="15.75">
      <c r="A514" s="64">
        <f>IF(F514&lt;&gt;"",1+MAX($A$2:A513),"")</f>
        <v>425</v>
      </c>
      <c r="B514" s="239"/>
      <c r="C514" s="262" t="s">
        <v>389</v>
      </c>
      <c r="D514" s="188">
        <v>267</v>
      </c>
      <c r="E514" s="189">
        <v>0</v>
      </c>
      <c r="F514" s="188">
        <f t="shared" si="296"/>
        <v>267</v>
      </c>
      <c r="G514" s="190" t="s">
        <v>14</v>
      </c>
      <c r="H514" s="191">
        <v>0</v>
      </c>
      <c r="I514" s="192">
        <f t="shared" si="297"/>
        <v>0</v>
      </c>
      <c r="J514" s="193">
        <v>0</v>
      </c>
      <c r="K514" s="194">
        <f t="shared" si="298"/>
        <v>0</v>
      </c>
      <c r="L514" s="195">
        <v>55</v>
      </c>
      <c r="M514" s="196">
        <f t="shared" si="299"/>
        <v>0</v>
      </c>
      <c r="N514" s="197">
        <f t="shared" si="300"/>
        <v>0</v>
      </c>
      <c r="O514" s="198"/>
      <c r="P514" s="18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</row>
    <row r="515" spans="1:77" s="41" customFormat="1" ht="15.75">
      <c r="A515" s="64">
        <f>IF(F515&lt;&gt;"",1+MAX($A$2:A514),"")</f>
        <v>426</v>
      </c>
      <c r="B515" s="263"/>
      <c r="C515" s="262" t="s">
        <v>390</v>
      </c>
      <c r="D515" s="188">
        <v>87</v>
      </c>
      <c r="E515" s="189">
        <v>0</v>
      </c>
      <c r="F515" s="188">
        <f t="shared" si="296"/>
        <v>87</v>
      </c>
      <c r="G515" s="190" t="s">
        <v>14</v>
      </c>
      <c r="H515" s="191">
        <v>0</v>
      </c>
      <c r="I515" s="192">
        <f t="shared" si="297"/>
        <v>0</v>
      </c>
      <c r="J515" s="193">
        <v>0</v>
      </c>
      <c r="K515" s="194">
        <f t="shared" si="298"/>
        <v>0</v>
      </c>
      <c r="L515" s="195">
        <v>55</v>
      </c>
      <c r="M515" s="196">
        <f t="shared" si="299"/>
        <v>0</v>
      </c>
      <c r="N515" s="197">
        <f t="shared" si="300"/>
        <v>0</v>
      </c>
      <c r="O515" s="198"/>
      <c r="P515" s="18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</row>
    <row r="516" spans="1:77" s="41" customFormat="1" ht="15.75">
      <c r="A516" s="64" t="str">
        <f>IF(F516&lt;&gt;"",1+MAX($A$2:A515),"")</f>
        <v/>
      </c>
      <c r="B516" s="230"/>
      <c r="C516" s="227"/>
      <c r="D516" s="188"/>
      <c r="E516" s="189"/>
      <c r="F516" s="188"/>
      <c r="G516" s="190"/>
      <c r="H516" s="191"/>
      <c r="I516" s="192"/>
      <c r="J516" s="192"/>
      <c r="K516" s="192"/>
      <c r="L516" s="228"/>
      <c r="M516" s="229"/>
      <c r="N516" s="197"/>
      <c r="O516" s="198"/>
      <c r="P516" s="18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</row>
    <row r="517" spans="1:77" s="42" customFormat="1" ht="18.75">
      <c r="A517" s="310" t="s">
        <v>391</v>
      </c>
      <c r="B517" s="311"/>
      <c r="C517" s="311"/>
      <c r="D517" s="311"/>
      <c r="E517" s="311"/>
      <c r="F517" s="311"/>
      <c r="G517" s="311"/>
      <c r="H517" s="311"/>
      <c r="I517" s="311"/>
      <c r="J517" s="311"/>
      <c r="K517" s="311"/>
      <c r="L517" s="311"/>
      <c r="M517" s="311"/>
      <c r="N517" s="311"/>
      <c r="O517" s="311"/>
      <c r="P517" s="240">
        <f>SUM(N518:N635)</f>
        <v>0</v>
      </c>
      <c r="Q517" s="2"/>
      <c r="R517" s="2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AY517"/>
      <c r="AZ517"/>
      <c r="BA517"/>
      <c r="BB517"/>
      <c r="BC517"/>
      <c r="BD517"/>
      <c r="BE517"/>
      <c r="BF517"/>
      <c r="BG517"/>
      <c r="BH517"/>
      <c r="BI517"/>
      <c r="BJ517"/>
      <c r="BK517"/>
      <c r="BL517"/>
      <c r="BM517"/>
      <c r="BN517"/>
      <c r="BO517"/>
      <c r="BP517"/>
      <c r="BQ517"/>
      <c r="BR517"/>
    </row>
    <row r="518" spans="1:77" s="41" customFormat="1" ht="15.75">
      <c r="A518" s="64" t="str">
        <f>IF(F518&lt;&gt;"",1+MAX($A$2:A517),"")</f>
        <v/>
      </c>
      <c r="B518" s="230"/>
      <c r="C518" s="227"/>
      <c r="D518" s="188"/>
      <c r="E518" s="189"/>
      <c r="F518" s="188"/>
      <c r="G518" s="190"/>
      <c r="H518" s="191"/>
      <c r="I518" s="192"/>
      <c r="J518" s="192"/>
      <c r="K518" s="192"/>
      <c r="L518" s="228"/>
      <c r="M518" s="229"/>
      <c r="N518" s="197"/>
      <c r="O518" s="198"/>
      <c r="P518" s="18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</row>
    <row r="519" spans="1:77" s="41" customFormat="1" ht="15.75">
      <c r="A519" s="64" t="str">
        <f>IF(F519&lt;&gt;"",1+MAX($A$2:A518),"")</f>
        <v/>
      </c>
      <c r="B519" s="312" t="s">
        <v>392</v>
      </c>
      <c r="C519" s="252" t="s">
        <v>393</v>
      </c>
      <c r="D519" s="188"/>
      <c r="E519" s="189"/>
      <c r="F519" s="188"/>
      <c r="G519" s="190"/>
      <c r="H519" s="191"/>
      <c r="I519" s="192"/>
      <c r="J519" s="192"/>
      <c r="K519" s="192"/>
      <c r="L519" s="228"/>
      <c r="M519" s="229"/>
      <c r="N519" s="197"/>
      <c r="O519" s="198"/>
      <c r="P519" s="18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</row>
    <row r="520" spans="1:77" s="41" customFormat="1" ht="15.75">
      <c r="A520" s="64" t="str">
        <f>IF(F520&lt;&gt;"",1+MAX($A$2:A519),"")</f>
        <v/>
      </c>
      <c r="B520" s="313"/>
      <c r="C520" s="264" t="s">
        <v>394</v>
      </c>
      <c r="D520" s="188"/>
      <c r="E520" s="189"/>
      <c r="F520" s="188"/>
      <c r="G520" s="190"/>
      <c r="H520" s="191"/>
      <c r="I520" s="192"/>
      <c r="J520" s="192"/>
      <c r="K520" s="192"/>
      <c r="L520" s="228"/>
      <c r="M520" s="229"/>
      <c r="N520" s="197"/>
      <c r="O520" s="198"/>
      <c r="P520" s="18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</row>
    <row r="521" spans="1:77" s="41" customFormat="1" ht="15.75">
      <c r="A521" s="64">
        <f>IF(F521&lt;&gt;"",1+MAX($A$2:A520),"")</f>
        <v>427</v>
      </c>
      <c r="B521" s="313"/>
      <c r="C521" s="235" t="s">
        <v>395</v>
      </c>
      <c r="D521" s="236">
        <v>473</v>
      </c>
      <c r="E521" s="237">
        <v>0.05</v>
      </c>
      <c r="F521" s="236">
        <f t="shared" ref="F521:F549" si="301">(1+E521)*D521</f>
        <v>496.65000000000003</v>
      </c>
      <c r="G521" s="238" t="s">
        <v>13</v>
      </c>
      <c r="H521" s="191">
        <v>0</v>
      </c>
      <c r="I521" s="192">
        <f t="shared" ref="I521:I549" si="302">H521*F521</f>
        <v>0</v>
      </c>
      <c r="J521" s="193">
        <v>0</v>
      </c>
      <c r="K521" s="194">
        <f t="shared" ref="K521:K549" si="303">J521*F521</f>
        <v>0</v>
      </c>
      <c r="L521" s="195">
        <v>55</v>
      </c>
      <c r="M521" s="196">
        <f t="shared" ref="M521:M549" si="304">L521*K521</f>
        <v>0</v>
      </c>
      <c r="N521" s="197">
        <f t="shared" ref="N521:N549" si="305">M521+I521</f>
        <v>0</v>
      </c>
      <c r="O521" s="198"/>
      <c r="P521" s="18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</row>
    <row r="522" spans="1:77" s="41" customFormat="1" ht="15.75">
      <c r="A522" s="64">
        <f>IF(F522&lt;&gt;"",1+MAX($A$2:A521),"")</f>
        <v>428</v>
      </c>
      <c r="B522" s="313"/>
      <c r="C522" s="235" t="s">
        <v>396</v>
      </c>
      <c r="D522" s="236">
        <v>765</v>
      </c>
      <c r="E522" s="237">
        <v>0.05</v>
      </c>
      <c r="F522" s="236">
        <f t="shared" si="301"/>
        <v>803.25</v>
      </c>
      <c r="G522" s="238" t="s">
        <v>13</v>
      </c>
      <c r="H522" s="191">
        <v>0</v>
      </c>
      <c r="I522" s="192">
        <f t="shared" si="302"/>
        <v>0</v>
      </c>
      <c r="J522" s="193">
        <v>0</v>
      </c>
      <c r="K522" s="194">
        <f t="shared" si="303"/>
        <v>0</v>
      </c>
      <c r="L522" s="195">
        <v>55</v>
      </c>
      <c r="M522" s="196">
        <f t="shared" si="304"/>
        <v>0</v>
      </c>
      <c r="N522" s="197">
        <f t="shared" si="305"/>
        <v>0</v>
      </c>
      <c r="O522" s="198"/>
      <c r="P522" s="18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</row>
    <row r="523" spans="1:77" s="41" customFormat="1" ht="15.75">
      <c r="A523" s="64">
        <f>IF(F523&lt;&gt;"",1+MAX($A$2:A522),"")</f>
        <v>429</v>
      </c>
      <c r="B523" s="313"/>
      <c r="C523" s="235" t="s">
        <v>397</v>
      </c>
      <c r="D523" s="236">
        <v>17.55</v>
      </c>
      <c r="E523" s="237">
        <v>0.05</v>
      </c>
      <c r="F523" s="236">
        <f t="shared" si="301"/>
        <v>18.427500000000002</v>
      </c>
      <c r="G523" s="238" t="s">
        <v>13</v>
      </c>
      <c r="H523" s="191">
        <v>0</v>
      </c>
      <c r="I523" s="192">
        <f t="shared" si="302"/>
        <v>0</v>
      </c>
      <c r="J523" s="193">
        <v>0</v>
      </c>
      <c r="K523" s="194">
        <f t="shared" si="303"/>
        <v>0</v>
      </c>
      <c r="L523" s="195">
        <v>55</v>
      </c>
      <c r="M523" s="196">
        <f t="shared" si="304"/>
        <v>0</v>
      </c>
      <c r="N523" s="197">
        <f t="shared" si="305"/>
        <v>0</v>
      </c>
      <c r="O523" s="198"/>
      <c r="P523" s="18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</row>
    <row r="524" spans="1:77" s="41" customFormat="1" ht="15.75">
      <c r="A524" s="64">
        <f>IF(F524&lt;&gt;"",1+MAX($A$2:A523),"")</f>
        <v>430</v>
      </c>
      <c r="B524" s="313"/>
      <c r="C524" s="235" t="s">
        <v>398</v>
      </c>
      <c r="D524" s="236">
        <v>2.64</v>
      </c>
      <c r="E524" s="237">
        <v>0.05</v>
      </c>
      <c r="F524" s="236">
        <f t="shared" si="301"/>
        <v>2.7720000000000002</v>
      </c>
      <c r="G524" s="238" t="s">
        <v>13</v>
      </c>
      <c r="H524" s="191">
        <v>0</v>
      </c>
      <c r="I524" s="192">
        <f t="shared" si="302"/>
        <v>0</v>
      </c>
      <c r="J524" s="193">
        <v>0</v>
      </c>
      <c r="K524" s="194">
        <f t="shared" si="303"/>
        <v>0</v>
      </c>
      <c r="L524" s="195">
        <v>55</v>
      </c>
      <c r="M524" s="196">
        <f t="shared" si="304"/>
        <v>0</v>
      </c>
      <c r="N524" s="197">
        <f t="shared" si="305"/>
        <v>0</v>
      </c>
      <c r="O524" s="198"/>
      <c r="P524" s="18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</row>
    <row r="525" spans="1:77" s="41" customFormat="1" ht="15.75">
      <c r="A525" s="64">
        <f>IF(F525&lt;&gt;"",1+MAX($A$2:A524),"")</f>
        <v>431</v>
      </c>
      <c r="B525" s="313"/>
      <c r="C525" s="235" t="s">
        <v>399</v>
      </c>
      <c r="D525" s="236">
        <v>152</v>
      </c>
      <c r="E525" s="237">
        <v>0.05</v>
      </c>
      <c r="F525" s="236">
        <f t="shared" si="301"/>
        <v>159.6</v>
      </c>
      <c r="G525" s="238" t="s">
        <v>13</v>
      </c>
      <c r="H525" s="191">
        <v>0</v>
      </c>
      <c r="I525" s="192">
        <f t="shared" si="302"/>
        <v>0</v>
      </c>
      <c r="J525" s="193">
        <v>0</v>
      </c>
      <c r="K525" s="194">
        <f t="shared" si="303"/>
        <v>0</v>
      </c>
      <c r="L525" s="195">
        <v>55</v>
      </c>
      <c r="M525" s="196">
        <f t="shared" si="304"/>
        <v>0</v>
      </c>
      <c r="N525" s="197">
        <f t="shared" si="305"/>
        <v>0</v>
      </c>
      <c r="O525" s="198"/>
      <c r="P525" s="18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</row>
    <row r="526" spans="1:77" s="41" customFormat="1" ht="15.75">
      <c r="A526" s="64">
        <f>IF(F526&lt;&gt;"",1+MAX($A$2:A525),"")</f>
        <v>432</v>
      </c>
      <c r="B526" s="313"/>
      <c r="C526" s="235" t="s">
        <v>400</v>
      </c>
      <c r="D526" s="236">
        <v>213</v>
      </c>
      <c r="E526" s="237">
        <v>0.05</v>
      </c>
      <c r="F526" s="236">
        <f t="shared" si="301"/>
        <v>223.65</v>
      </c>
      <c r="G526" s="238" t="s">
        <v>13</v>
      </c>
      <c r="H526" s="191">
        <v>0</v>
      </c>
      <c r="I526" s="192">
        <f t="shared" si="302"/>
        <v>0</v>
      </c>
      <c r="J526" s="193">
        <v>0</v>
      </c>
      <c r="K526" s="194">
        <f t="shared" si="303"/>
        <v>0</v>
      </c>
      <c r="L526" s="195">
        <v>55</v>
      </c>
      <c r="M526" s="196">
        <f t="shared" si="304"/>
        <v>0</v>
      </c>
      <c r="N526" s="197">
        <f t="shared" si="305"/>
        <v>0</v>
      </c>
      <c r="O526" s="198"/>
      <c r="P526" s="18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</row>
    <row r="527" spans="1:77" s="41" customFormat="1" ht="15.75">
      <c r="A527" s="64">
        <f>IF(F527&lt;&gt;"",1+MAX($A$2:A526),"")</f>
        <v>433</v>
      </c>
      <c r="B527" s="313"/>
      <c r="C527" s="235" t="s">
        <v>401</v>
      </c>
      <c r="D527" s="236">
        <v>180</v>
      </c>
      <c r="E527" s="237">
        <v>0.05</v>
      </c>
      <c r="F527" s="236">
        <f t="shared" si="301"/>
        <v>189</v>
      </c>
      <c r="G527" s="238" t="s">
        <v>13</v>
      </c>
      <c r="H527" s="191">
        <v>0</v>
      </c>
      <c r="I527" s="192">
        <f t="shared" si="302"/>
        <v>0</v>
      </c>
      <c r="J527" s="193">
        <v>0</v>
      </c>
      <c r="K527" s="194">
        <f t="shared" si="303"/>
        <v>0</v>
      </c>
      <c r="L527" s="195">
        <v>55</v>
      </c>
      <c r="M527" s="196">
        <f t="shared" si="304"/>
        <v>0</v>
      </c>
      <c r="N527" s="197">
        <f t="shared" si="305"/>
        <v>0</v>
      </c>
      <c r="O527" s="198"/>
      <c r="P527" s="18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</row>
    <row r="528" spans="1:77" s="41" customFormat="1" ht="15.75">
      <c r="A528" s="64">
        <f>IF(F528&lt;&gt;"",1+MAX($A$2:A527),"")</f>
        <v>434</v>
      </c>
      <c r="B528" s="313"/>
      <c r="C528" s="235" t="s">
        <v>402</v>
      </c>
      <c r="D528" s="236">
        <v>750</v>
      </c>
      <c r="E528" s="237">
        <v>0.05</v>
      </c>
      <c r="F528" s="236">
        <f t="shared" si="301"/>
        <v>787.5</v>
      </c>
      <c r="G528" s="238" t="s">
        <v>13</v>
      </c>
      <c r="H528" s="191">
        <v>0</v>
      </c>
      <c r="I528" s="192">
        <f t="shared" si="302"/>
        <v>0</v>
      </c>
      <c r="J528" s="193">
        <v>0</v>
      </c>
      <c r="K528" s="194">
        <f t="shared" si="303"/>
        <v>0</v>
      </c>
      <c r="L528" s="195">
        <v>55</v>
      </c>
      <c r="M528" s="196">
        <f t="shared" si="304"/>
        <v>0</v>
      </c>
      <c r="N528" s="197">
        <f t="shared" si="305"/>
        <v>0</v>
      </c>
      <c r="O528" s="198"/>
      <c r="P528" s="18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</row>
    <row r="529" spans="1:77" s="41" customFormat="1" ht="15.75">
      <c r="A529" s="64">
        <f>IF(F529&lt;&gt;"",1+MAX($A$2:A528),"")</f>
        <v>435</v>
      </c>
      <c r="B529" s="313"/>
      <c r="C529" s="235" t="s">
        <v>403</v>
      </c>
      <c r="D529" s="236">
        <v>487</v>
      </c>
      <c r="E529" s="237">
        <v>0.05</v>
      </c>
      <c r="F529" s="236">
        <f t="shared" si="301"/>
        <v>511.35</v>
      </c>
      <c r="G529" s="238" t="s">
        <v>13</v>
      </c>
      <c r="H529" s="191">
        <v>0</v>
      </c>
      <c r="I529" s="192">
        <f t="shared" si="302"/>
        <v>0</v>
      </c>
      <c r="J529" s="193">
        <v>0</v>
      </c>
      <c r="K529" s="194">
        <f t="shared" si="303"/>
        <v>0</v>
      </c>
      <c r="L529" s="195">
        <v>55</v>
      </c>
      <c r="M529" s="196">
        <f t="shared" si="304"/>
        <v>0</v>
      </c>
      <c r="N529" s="197">
        <f t="shared" si="305"/>
        <v>0</v>
      </c>
      <c r="O529" s="198"/>
      <c r="P529" s="18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</row>
    <row r="530" spans="1:77" s="41" customFormat="1" ht="15.75">
      <c r="A530" s="64">
        <f>IF(F530&lt;&gt;"",1+MAX($A$2:A529),"")</f>
        <v>436</v>
      </c>
      <c r="B530" s="313"/>
      <c r="C530" s="235" t="s">
        <v>404</v>
      </c>
      <c r="D530" s="236">
        <v>182</v>
      </c>
      <c r="E530" s="237">
        <v>0.05</v>
      </c>
      <c r="F530" s="236">
        <f t="shared" si="301"/>
        <v>191.1</v>
      </c>
      <c r="G530" s="238" t="s">
        <v>13</v>
      </c>
      <c r="H530" s="191">
        <v>0</v>
      </c>
      <c r="I530" s="192">
        <f t="shared" si="302"/>
        <v>0</v>
      </c>
      <c r="J530" s="193">
        <v>0</v>
      </c>
      <c r="K530" s="194">
        <f t="shared" si="303"/>
        <v>0</v>
      </c>
      <c r="L530" s="195">
        <v>55</v>
      </c>
      <c r="M530" s="196">
        <f t="shared" si="304"/>
        <v>0</v>
      </c>
      <c r="N530" s="197">
        <f t="shared" si="305"/>
        <v>0</v>
      </c>
      <c r="O530" s="198"/>
      <c r="P530" s="18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</row>
    <row r="531" spans="1:77" s="41" customFormat="1" ht="15.75">
      <c r="A531" s="64">
        <f>IF(F531&lt;&gt;"",1+MAX($A$2:A530),"")</f>
        <v>437</v>
      </c>
      <c r="B531" s="313"/>
      <c r="C531" s="235" t="s">
        <v>405</v>
      </c>
      <c r="D531" s="236">
        <v>9.56</v>
      </c>
      <c r="E531" s="237">
        <v>0.05</v>
      </c>
      <c r="F531" s="236">
        <f t="shared" si="301"/>
        <v>10.038</v>
      </c>
      <c r="G531" s="238" t="s">
        <v>13</v>
      </c>
      <c r="H531" s="191">
        <v>0</v>
      </c>
      <c r="I531" s="192">
        <f t="shared" si="302"/>
        <v>0</v>
      </c>
      <c r="J531" s="193">
        <v>0</v>
      </c>
      <c r="K531" s="194">
        <f t="shared" si="303"/>
        <v>0</v>
      </c>
      <c r="L531" s="195">
        <v>55</v>
      </c>
      <c r="M531" s="196">
        <f t="shared" si="304"/>
        <v>0</v>
      </c>
      <c r="N531" s="197">
        <f t="shared" si="305"/>
        <v>0</v>
      </c>
      <c r="O531" s="198"/>
      <c r="P531" s="18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</row>
    <row r="532" spans="1:77" s="41" customFormat="1" ht="15.75">
      <c r="A532" s="64">
        <f>IF(F532&lt;&gt;"",1+MAX($A$2:A531),"")</f>
        <v>438</v>
      </c>
      <c r="B532" s="313"/>
      <c r="C532" s="235" t="s">
        <v>406</v>
      </c>
      <c r="D532" s="236">
        <v>522</v>
      </c>
      <c r="E532" s="237">
        <v>0.05</v>
      </c>
      <c r="F532" s="236">
        <f t="shared" si="301"/>
        <v>548.1</v>
      </c>
      <c r="G532" s="238" t="s">
        <v>13</v>
      </c>
      <c r="H532" s="191">
        <v>0</v>
      </c>
      <c r="I532" s="192">
        <f t="shared" si="302"/>
        <v>0</v>
      </c>
      <c r="J532" s="193">
        <v>0</v>
      </c>
      <c r="K532" s="194">
        <f t="shared" si="303"/>
        <v>0</v>
      </c>
      <c r="L532" s="195">
        <v>55</v>
      </c>
      <c r="M532" s="196">
        <f t="shared" si="304"/>
        <v>0</v>
      </c>
      <c r="N532" s="197">
        <f t="shared" si="305"/>
        <v>0</v>
      </c>
      <c r="O532" s="198"/>
      <c r="P532" s="18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</row>
    <row r="533" spans="1:77" s="41" customFormat="1" ht="15.75">
      <c r="A533" s="64">
        <f>IF(F533&lt;&gt;"",1+MAX($A$2:A532),"")</f>
        <v>439</v>
      </c>
      <c r="B533" s="313"/>
      <c r="C533" s="235" t="s">
        <v>407</v>
      </c>
      <c r="D533" s="236">
        <v>195.21</v>
      </c>
      <c r="E533" s="237">
        <v>0.05</v>
      </c>
      <c r="F533" s="236">
        <f t="shared" si="301"/>
        <v>204.97050000000002</v>
      </c>
      <c r="G533" s="238" t="s">
        <v>13</v>
      </c>
      <c r="H533" s="191">
        <v>0</v>
      </c>
      <c r="I533" s="192">
        <f t="shared" si="302"/>
        <v>0</v>
      </c>
      <c r="J533" s="193">
        <v>0</v>
      </c>
      <c r="K533" s="194">
        <f t="shared" si="303"/>
        <v>0</v>
      </c>
      <c r="L533" s="195">
        <v>55</v>
      </c>
      <c r="M533" s="196">
        <f t="shared" si="304"/>
        <v>0</v>
      </c>
      <c r="N533" s="197">
        <f t="shared" si="305"/>
        <v>0</v>
      </c>
      <c r="O533" s="198"/>
      <c r="P533" s="18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</row>
    <row r="534" spans="1:77" s="41" customFormat="1" ht="15.75">
      <c r="A534" s="64">
        <f>IF(F534&lt;&gt;"",1+MAX($A$2:A533),"")</f>
        <v>440</v>
      </c>
      <c r="B534" s="313"/>
      <c r="C534" s="235" t="s">
        <v>408</v>
      </c>
      <c r="D534" s="236">
        <v>287</v>
      </c>
      <c r="E534" s="237">
        <v>0.05</v>
      </c>
      <c r="F534" s="236">
        <f t="shared" si="301"/>
        <v>301.35000000000002</v>
      </c>
      <c r="G534" s="238" t="s">
        <v>13</v>
      </c>
      <c r="H534" s="191">
        <v>0</v>
      </c>
      <c r="I534" s="192">
        <f t="shared" si="302"/>
        <v>0</v>
      </c>
      <c r="J534" s="193">
        <v>0</v>
      </c>
      <c r="K534" s="194">
        <f t="shared" si="303"/>
        <v>0</v>
      </c>
      <c r="L534" s="195">
        <v>55</v>
      </c>
      <c r="M534" s="196">
        <f t="shared" si="304"/>
        <v>0</v>
      </c>
      <c r="N534" s="197">
        <f t="shared" si="305"/>
        <v>0</v>
      </c>
      <c r="O534" s="198"/>
      <c r="P534" s="18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</row>
    <row r="535" spans="1:77" s="41" customFormat="1" ht="15.75">
      <c r="A535" s="64">
        <f>IF(F535&lt;&gt;"",1+MAX($A$2:A534),"")</f>
        <v>441</v>
      </c>
      <c r="B535" s="313"/>
      <c r="C535" s="235" t="s">
        <v>409</v>
      </c>
      <c r="D535" s="236">
        <v>1495</v>
      </c>
      <c r="E535" s="237">
        <v>0.05</v>
      </c>
      <c r="F535" s="236">
        <f t="shared" si="301"/>
        <v>1569.75</v>
      </c>
      <c r="G535" s="238" t="s">
        <v>13</v>
      </c>
      <c r="H535" s="191">
        <v>0</v>
      </c>
      <c r="I535" s="192">
        <f t="shared" si="302"/>
        <v>0</v>
      </c>
      <c r="J535" s="193">
        <v>0</v>
      </c>
      <c r="K535" s="194">
        <f t="shared" si="303"/>
        <v>0</v>
      </c>
      <c r="L535" s="195">
        <v>55</v>
      </c>
      <c r="M535" s="196">
        <f t="shared" si="304"/>
        <v>0</v>
      </c>
      <c r="N535" s="197">
        <f t="shared" si="305"/>
        <v>0</v>
      </c>
      <c r="O535" s="198"/>
      <c r="P535" s="18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</row>
    <row r="536" spans="1:77" s="41" customFormat="1" ht="15.75">
      <c r="A536" s="64">
        <f>IF(F536&lt;&gt;"",1+MAX($A$2:A535),"")</f>
        <v>442</v>
      </c>
      <c r="B536" s="313"/>
      <c r="C536" s="235" t="s">
        <v>410</v>
      </c>
      <c r="D536" s="236">
        <v>414</v>
      </c>
      <c r="E536" s="237">
        <v>0.05</v>
      </c>
      <c r="F536" s="236">
        <f t="shared" si="301"/>
        <v>434.70000000000005</v>
      </c>
      <c r="G536" s="238" t="s">
        <v>13</v>
      </c>
      <c r="H536" s="191">
        <v>0</v>
      </c>
      <c r="I536" s="192">
        <f t="shared" si="302"/>
        <v>0</v>
      </c>
      <c r="J536" s="193">
        <v>0</v>
      </c>
      <c r="K536" s="194">
        <f t="shared" si="303"/>
        <v>0</v>
      </c>
      <c r="L536" s="195">
        <v>55</v>
      </c>
      <c r="M536" s="196">
        <f t="shared" si="304"/>
        <v>0</v>
      </c>
      <c r="N536" s="197">
        <f t="shared" si="305"/>
        <v>0</v>
      </c>
      <c r="O536" s="198"/>
      <c r="P536" s="18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</row>
    <row r="537" spans="1:77" s="41" customFormat="1" ht="15.75">
      <c r="A537" s="64">
        <f>IF(F537&lt;&gt;"",1+MAX($A$2:A536),"")</f>
        <v>443</v>
      </c>
      <c r="B537" s="313"/>
      <c r="C537" s="235" t="s">
        <v>411</v>
      </c>
      <c r="D537" s="236">
        <v>17.89</v>
      </c>
      <c r="E537" s="237">
        <v>0.05</v>
      </c>
      <c r="F537" s="236">
        <f t="shared" si="301"/>
        <v>18.784500000000001</v>
      </c>
      <c r="G537" s="238" t="s">
        <v>13</v>
      </c>
      <c r="H537" s="191">
        <v>0</v>
      </c>
      <c r="I537" s="192">
        <f t="shared" si="302"/>
        <v>0</v>
      </c>
      <c r="J537" s="193">
        <v>0</v>
      </c>
      <c r="K537" s="194">
        <f t="shared" si="303"/>
        <v>0</v>
      </c>
      <c r="L537" s="195">
        <v>55</v>
      </c>
      <c r="M537" s="196">
        <f t="shared" si="304"/>
        <v>0</v>
      </c>
      <c r="N537" s="197">
        <f t="shared" si="305"/>
        <v>0</v>
      </c>
      <c r="O537" s="198"/>
      <c r="P537" s="18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</row>
    <row r="538" spans="1:77" s="41" customFormat="1" ht="15.75">
      <c r="A538" s="64" t="str">
        <f>IF(F538&lt;&gt;"",1+MAX($A$2:A537),"")</f>
        <v/>
      </c>
      <c r="B538" s="313"/>
      <c r="C538" s="264" t="s">
        <v>412</v>
      </c>
      <c r="D538" s="236"/>
      <c r="E538" s="237"/>
      <c r="F538" s="236"/>
      <c r="G538" s="238"/>
      <c r="H538" s="191"/>
      <c r="I538" s="192"/>
      <c r="J538" s="193"/>
      <c r="K538" s="194"/>
      <c r="L538" s="195"/>
      <c r="M538" s="196"/>
      <c r="N538" s="197"/>
      <c r="O538" s="198"/>
      <c r="P538" s="18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</row>
    <row r="539" spans="1:77" s="41" customFormat="1" ht="15.75">
      <c r="A539" s="64">
        <f>IF(F539&lt;&gt;"",1+MAX($A$2:A538),"")</f>
        <v>444</v>
      </c>
      <c r="B539" s="313"/>
      <c r="C539" s="235" t="s">
        <v>413</v>
      </c>
      <c r="D539" s="236">
        <v>368</v>
      </c>
      <c r="E539" s="237">
        <v>0.05</v>
      </c>
      <c r="F539" s="236">
        <f t="shared" si="301"/>
        <v>386.40000000000003</v>
      </c>
      <c r="G539" s="238" t="s">
        <v>13</v>
      </c>
      <c r="H539" s="191">
        <v>0</v>
      </c>
      <c r="I539" s="192">
        <f t="shared" si="302"/>
        <v>0</v>
      </c>
      <c r="J539" s="193">
        <v>0</v>
      </c>
      <c r="K539" s="194">
        <f t="shared" si="303"/>
        <v>0</v>
      </c>
      <c r="L539" s="195">
        <v>55</v>
      </c>
      <c r="M539" s="196">
        <f t="shared" si="304"/>
        <v>0</v>
      </c>
      <c r="N539" s="197">
        <f t="shared" si="305"/>
        <v>0</v>
      </c>
      <c r="O539" s="198"/>
      <c r="P539" s="18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</row>
    <row r="540" spans="1:77" s="41" customFormat="1" ht="15.75">
      <c r="A540" s="64">
        <f>IF(F540&lt;&gt;"",1+MAX($A$2:A539),"")</f>
        <v>445</v>
      </c>
      <c r="B540" s="313"/>
      <c r="C540" s="235" t="s">
        <v>414</v>
      </c>
      <c r="D540" s="236">
        <v>884</v>
      </c>
      <c r="E540" s="237">
        <v>0.05</v>
      </c>
      <c r="F540" s="236">
        <f t="shared" si="301"/>
        <v>928.2</v>
      </c>
      <c r="G540" s="238" t="s">
        <v>13</v>
      </c>
      <c r="H540" s="191">
        <v>0</v>
      </c>
      <c r="I540" s="192">
        <f t="shared" si="302"/>
        <v>0</v>
      </c>
      <c r="J540" s="193">
        <v>0</v>
      </c>
      <c r="K540" s="194">
        <f t="shared" si="303"/>
        <v>0</v>
      </c>
      <c r="L540" s="195">
        <v>55</v>
      </c>
      <c r="M540" s="196">
        <f t="shared" si="304"/>
        <v>0</v>
      </c>
      <c r="N540" s="197">
        <f t="shared" si="305"/>
        <v>0</v>
      </c>
      <c r="O540" s="198"/>
      <c r="P540" s="18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</row>
    <row r="541" spans="1:77" s="41" customFormat="1" ht="15.75">
      <c r="A541" s="64">
        <f>IF(F541&lt;&gt;"",1+MAX($A$2:A540),"")</f>
        <v>446</v>
      </c>
      <c r="B541" s="313"/>
      <c r="C541" s="235" t="s">
        <v>415</v>
      </c>
      <c r="D541" s="236">
        <v>162</v>
      </c>
      <c r="E541" s="237">
        <v>0.05</v>
      </c>
      <c r="F541" s="236">
        <f t="shared" si="301"/>
        <v>170.1</v>
      </c>
      <c r="G541" s="238" t="s">
        <v>13</v>
      </c>
      <c r="H541" s="191">
        <v>0</v>
      </c>
      <c r="I541" s="192">
        <f t="shared" si="302"/>
        <v>0</v>
      </c>
      <c r="J541" s="193">
        <v>0</v>
      </c>
      <c r="K541" s="194">
        <f t="shared" si="303"/>
        <v>0</v>
      </c>
      <c r="L541" s="195">
        <v>55</v>
      </c>
      <c r="M541" s="196">
        <f t="shared" si="304"/>
        <v>0</v>
      </c>
      <c r="N541" s="197">
        <f t="shared" si="305"/>
        <v>0</v>
      </c>
      <c r="O541" s="198"/>
      <c r="P541" s="18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</row>
    <row r="542" spans="1:77" s="41" customFormat="1" ht="15.75">
      <c r="A542" s="64">
        <f>IF(F542&lt;&gt;"",1+MAX($A$2:A541),"")</f>
        <v>447</v>
      </c>
      <c r="B542" s="313"/>
      <c r="C542" s="235" t="s">
        <v>416</v>
      </c>
      <c r="D542" s="236">
        <v>1937</v>
      </c>
      <c r="E542" s="237">
        <v>0.05</v>
      </c>
      <c r="F542" s="236">
        <f t="shared" si="301"/>
        <v>2033.8500000000001</v>
      </c>
      <c r="G542" s="238" t="s">
        <v>13</v>
      </c>
      <c r="H542" s="191">
        <v>0</v>
      </c>
      <c r="I542" s="192">
        <f t="shared" si="302"/>
        <v>0</v>
      </c>
      <c r="J542" s="193">
        <v>0</v>
      </c>
      <c r="K542" s="194">
        <f t="shared" si="303"/>
        <v>0</v>
      </c>
      <c r="L542" s="195">
        <v>55</v>
      </c>
      <c r="M542" s="196">
        <f t="shared" si="304"/>
        <v>0</v>
      </c>
      <c r="N542" s="197">
        <f t="shared" si="305"/>
        <v>0</v>
      </c>
      <c r="O542" s="198"/>
      <c r="P542" s="18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</row>
    <row r="543" spans="1:77" s="41" customFormat="1" ht="15.75">
      <c r="A543" s="64">
        <f>IF(F543&lt;&gt;"",1+MAX($A$2:A542),"")</f>
        <v>448</v>
      </c>
      <c r="B543" s="313"/>
      <c r="C543" s="235" t="s">
        <v>417</v>
      </c>
      <c r="D543" s="236">
        <v>285</v>
      </c>
      <c r="E543" s="237">
        <v>0.05</v>
      </c>
      <c r="F543" s="236">
        <f t="shared" si="301"/>
        <v>299.25</v>
      </c>
      <c r="G543" s="238" t="s">
        <v>13</v>
      </c>
      <c r="H543" s="191">
        <v>0</v>
      </c>
      <c r="I543" s="192">
        <f t="shared" si="302"/>
        <v>0</v>
      </c>
      <c r="J543" s="193">
        <v>0</v>
      </c>
      <c r="K543" s="194">
        <f t="shared" si="303"/>
        <v>0</v>
      </c>
      <c r="L543" s="195">
        <v>55</v>
      </c>
      <c r="M543" s="196">
        <f t="shared" si="304"/>
        <v>0</v>
      </c>
      <c r="N543" s="197">
        <f t="shared" si="305"/>
        <v>0</v>
      </c>
      <c r="O543" s="198"/>
      <c r="P543" s="18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</row>
    <row r="544" spans="1:77" s="41" customFormat="1" ht="15.75">
      <c r="A544" s="64">
        <f>IF(F544&lt;&gt;"",1+MAX($A$2:A543),"")</f>
        <v>449</v>
      </c>
      <c r="B544" s="313"/>
      <c r="C544" s="235" t="s">
        <v>418</v>
      </c>
      <c r="D544" s="236">
        <v>1054</v>
      </c>
      <c r="E544" s="237">
        <v>0.05</v>
      </c>
      <c r="F544" s="236">
        <f t="shared" si="301"/>
        <v>1106.7</v>
      </c>
      <c r="G544" s="238" t="s">
        <v>13</v>
      </c>
      <c r="H544" s="191">
        <v>0</v>
      </c>
      <c r="I544" s="192">
        <f t="shared" si="302"/>
        <v>0</v>
      </c>
      <c r="J544" s="193">
        <v>0</v>
      </c>
      <c r="K544" s="194">
        <f t="shared" si="303"/>
        <v>0</v>
      </c>
      <c r="L544" s="195">
        <v>55</v>
      </c>
      <c r="M544" s="196">
        <f t="shared" si="304"/>
        <v>0</v>
      </c>
      <c r="N544" s="197">
        <f t="shared" si="305"/>
        <v>0</v>
      </c>
      <c r="O544" s="198"/>
      <c r="P544" s="18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</row>
    <row r="545" spans="1:77" s="41" customFormat="1" ht="15.75">
      <c r="A545" s="64">
        <f>IF(F545&lt;&gt;"",1+MAX($A$2:A544),"")</f>
        <v>450</v>
      </c>
      <c r="B545" s="313"/>
      <c r="C545" s="235" t="s">
        <v>419</v>
      </c>
      <c r="D545" s="236">
        <v>526</v>
      </c>
      <c r="E545" s="237">
        <v>0.05</v>
      </c>
      <c r="F545" s="236">
        <f t="shared" si="301"/>
        <v>552.30000000000007</v>
      </c>
      <c r="G545" s="238" t="s">
        <v>13</v>
      </c>
      <c r="H545" s="191">
        <v>0</v>
      </c>
      <c r="I545" s="192">
        <f t="shared" si="302"/>
        <v>0</v>
      </c>
      <c r="J545" s="193">
        <v>0</v>
      </c>
      <c r="K545" s="194">
        <f t="shared" si="303"/>
        <v>0</v>
      </c>
      <c r="L545" s="195">
        <v>55</v>
      </c>
      <c r="M545" s="196">
        <f t="shared" si="304"/>
        <v>0</v>
      </c>
      <c r="N545" s="197">
        <f t="shared" si="305"/>
        <v>0</v>
      </c>
      <c r="O545" s="198"/>
      <c r="P545" s="18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</row>
    <row r="546" spans="1:77" s="41" customFormat="1" ht="15.75">
      <c r="A546" s="64">
        <f>IF(F546&lt;&gt;"",1+MAX($A$2:A545),"")</f>
        <v>451</v>
      </c>
      <c r="B546" s="313"/>
      <c r="C546" s="235" t="s">
        <v>420</v>
      </c>
      <c r="D546" s="236">
        <v>258</v>
      </c>
      <c r="E546" s="237">
        <v>0.05</v>
      </c>
      <c r="F546" s="236">
        <f t="shared" si="301"/>
        <v>270.90000000000003</v>
      </c>
      <c r="G546" s="238" t="s">
        <v>13</v>
      </c>
      <c r="H546" s="191">
        <v>0</v>
      </c>
      <c r="I546" s="192">
        <f t="shared" si="302"/>
        <v>0</v>
      </c>
      <c r="J546" s="193">
        <v>0</v>
      </c>
      <c r="K546" s="194">
        <f t="shared" si="303"/>
        <v>0</v>
      </c>
      <c r="L546" s="195">
        <v>55</v>
      </c>
      <c r="M546" s="196">
        <f t="shared" si="304"/>
        <v>0</v>
      </c>
      <c r="N546" s="197">
        <f t="shared" si="305"/>
        <v>0</v>
      </c>
      <c r="O546" s="198"/>
      <c r="P546" s="18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</row>
    <row r="547" spans="1:77" s="41" customFormat="1" ht="15.75">
      <c r="A547" s="64">
        <f>IF(F547&lt;&gt;"",1+MAX($A$2:A546),"")</f>
        <v>452</v>
      </c>
      <c r="B547" s="313"/>
      <c r="C547" s="235" t="s">
        <v>421</v>
      </c>
      <c r="D547" s="236">
        <v>14</v>
      </c>
      <c r="E547" s="237">
        <v>0.05</v>
      </c>
      <c r="F547" s="236">
        <f t="shared" si="301"/>
        <v>14.700000000000001</v>
      </c>
      <c r="G547" s="238" t="s">
        <v>13</v>
      </c>
      <c r="H547" s="191">
        <v>0</v>
      </c>
      <c r="I547" s="192">
        <f t="shared" si="302"/>
        <v>0</v>
      </c>
      <c r="J547" s="193">
        <v>0</v>
      </c>
      <c r="K547" s="194">
        <f t="shared" si="303"/>
        <v>0</v>
      </c>
      <c r="L547" s="195">
        <v>55</v>
      </c>
      <c r="M547" s="196">
        <f t="shared" si="304"/>
        <v>0</v>
      </c>
      <c r="N547" s="197">
        <f t="shared" si="305"/>
        <v>0</v>
      </c>
      <c r="O547" s="198"/>
      <c r="P547" s="18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</row>
    <row r="548" spans="1:77" s="41" customFormat="1" ht="15.75">
      <c r="A548" s="64">
        <f>IF(F548&lt;&gt;"",1+MAX($A$2:A547),"")</f>
        <v>453</v>
      </c>
      <c r="B548" s="313"/>
      <c r="C548" s="235" t="s">
        <v>422</v>
      </c>
      <c r="D548" s="236">
        <v>12.02</v>
      </c>
      <c r="E548" s="237">
        <v>0.05</v>
      </c>
      <c r="F548" s="236">
        <f t="shared" si="301"/>
        <v>12.621</v>
      </c>
      <c r="G548" s="238" t="s">
        <v>13</v>
      </c>
      <c r="H548" s="191">
        <v>0</v>
      </c>
      <c r="I548" s="192">
        <f t="shared" si="302"/>
        <v>0</v>
      </c>
      <c r="J548" s="193">
        <v>0</v>
      </c>
      <c r="K548" s="194">
        <f t="shared" si="303"/>
        <v>0</v>
      </c>
      <c r="L548" s="195">
        <v>55</v>
      </c>
      <c r="M548" s="196">
        <f t="shared" si="304"/>
        <v>0</v>
      </c>
      <c r="N548" s="197">
        <f t="shared" si="305"/>
        <v>0</v>
      </c>
      <c r="O548" s="198"/>
      <c r="P548" s="18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</row>
    <row r="549" spans="1:77" s="41" customFormat="1" ht="15.75">
      <c r="A549" s="64">
        <f>IF(F549&lt;&gt;"",1+MAX($A$2:A548),"")</f>
        <v>454</v>
      </c>
      <c r="B549" s="313"/>
      <c r="C549" s="235" t="s">
        <v>423</v>
      </c>
      <c r="D549" s="236">
        <v>11.73</v>
      </c>
      <c r="E549" s="237">
        <v>0.05</v>
      </c>
      <c r="F549" s="236">
        <f t="shared" si="301"/>
        <v>12.316500000000001</v>
      </c>
      <c r="G549" s="238" t="s">
        <v>13</v>
      </c>
      <c r="H549" s="191">
        <v>0</v>
      </c>
      <c r="I549" s="192">
        <f t="shared" si="302"/>
        <v>0</v>
      </c>
      <c r="J549" s="193">
        <v>0</v>
      </c>
      <c r="K549" s="194">
        <f t="shared" si="303"/>
        <v>0</v>
      </c>
      <c r="L549" s="195">
        <v>55</v>
      </c>
      <c r="M549" s="196">
        <f t="shared" si="304"/>
        <v>0</v>
      </c>
      <c r="N549" s="197">
        <f t="shared" si="305"/>
        <v>0</v>
      </c>
      <c r="O549" s="198"/>
      <c r="P549" s="18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</row>
    <row r="550" spans="1:77" s="41" customFormat="1" ht="15.75">
      <c r="A550" s="64" t="str">
        <f>IF(F550&lt;&gt;"",1+MAX($A$2:A549),"")</f>
        <v/>
      </c>
      <c r="B550" s="313"/>
      <c r="C550" s="264" t="s">
        <v>424</v>
      </c>
      <c r="D550" s="236"/>
      <c r="E550" s="237"/>
      <c r="F550" s="236"/>
      <c r="G550" s="238"/>
      <c r="H550" s="191"/>
      <c r="I550" s="192"/>
      <c r="J550" s="193"/>
      <c r="K550" s="194"/>
      <c r="L550" s="195"/>
      <c r="M550" s="196"/>
      <c r="N550" s="197"/>
      <c r="O550" s="198"/>
      <c r="P550" s="18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</row>
    <row r="551" spans="1:77" s="41" customFormat="1" ht="15.75">
      <c r="A551" s="64">
        <f>IF(F551&lt;&gt;"",1+MAX($A$2:A550),"")</f>
        <v>455</v>
      </c>
      <c r="B551" s="313"/>
      <c r="C551" s="235" t="s">
        <v>425</v>
      </c>
      <c r="D551" s="236">
        <v>40.36</v>
      </c>
      <c r="E551" s="237">
        <v>0.05</v>
      </c>
      <c r="F551" s="236">
        <f t="shared" ref="F551:F554" si="306">(1+E551)*D551</f>
        <v>42.378</v>
      </c>
      <c r="G551" s="238" t="s">
        <v>13</v>
      </c>
      <c r="H551" s="191">
        <v>0</v>
      </c>
      <c r="I551" s="192">
        <f t="shared" ref="I551:I554" si="307">H551*F551</f>
        <v>0</v>
      </c>
      <c r="J551" s="193">
        <v>0</v>
      </c>
      <c r="K551" s="194">
        <f t="shared" ref="K551:K554" si="308">J551*F551</f>
        <v>0</v>
      </c>
      <c r="L551" s="195">
        <v>55</v>
      </c>
      <c r="M551" s="196">
        <f t="shared" ref="M551:M554" si="309">L551*K551</f>
        <v>0</v>
      </c>
      <c r="N551" s="197">
        <f t="shared" ref="N551:N554" si="310">M551+I551</f>
        <v>0</v>
      </c>
      <c r="O551" s="198"/>
      <c r="P551" s="18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</row>
    <row r="552" spans="1:77" s="41" customFormat="1" ht="15.75">
      <c r="A552" s="64">
        <f>IF(F552&lt;&gt;"",1+MAX($A$2:A551),"")</f>
        <v>456</v>
      </c>
      <c r="B552" s="313"/>
      <c r="C552" s="235" t="s">
        <v>426</v>
      </c>
      <c r="D552" s="236">
        <v>5.28</v>
      </c>
      <c r="E552" s="237">
        <v>0.05</v>
      </c>
      <c r="F552" s="236">
        <f t="shared" si="306"/>
        <v>5.5440000000000005</v>
      </c>
      <c r="G552" s="238" t="s">
        <v>13</v>
      </c>
      <c r="H552" s="191">
        <v>0</v>
      </c>
      <c r="I552" s="192">
        <f t="shared" si="307"/>
        <v>0</v>
      </c>
      <c r="J552" s="193">
        <v>0</v>
      </c>
      <c r="K552" s="194">
        <f t="shared" si="308"/>
        <v>0</v>
      </c>
      <c r="L552" s="195">
        <v>55</v>
      </c>
      <c r="M552" s="196">
        <f t="shared" si="309"/>
        <v>0</v>
      </c>
      <c r="N552" s="197">
        <f t="shared" si="310"/>
        <v>0</v>
      </c>
      <c r="O552" s="198"/>
      <c r="P552" s="18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</row>
    <row r="553" spans="1:77" s="41" customFormat="1" ht="15.75">
      <c r="A553" s="64">
        <f>IF(F553&lt;&gt;"",1+MAX($A$2:A552),"")</f>
        <v>457</v>
      </c>
      <c r="B553" s="313"/>
      <c r="C553" s="235" t="s">
        <v>427</v>
      </c>
      <c r="D553" s="236">
        <v>1.52</v>
      </c>
      <c r="E553" s="237">
        <v>0.05</v>
      </c>
      <c r="F553" s="236">
        <f t="shared" si="306"/>
        <v>1.5960000000000001</v>
      </c>
      <c r="G553" s="238" t="s">
        <v>13</v>
      </c>
      <c r="H553" s="191">
        <v>0</v>
      </c>
      <c r="I553" s="192">
        <f t="shared" si="307"/>
        <v>0</v>
      </c>
      <c r="J553" s="193">
        <v>0</v>
      </c>
      <c r="K553" s="194">
        <f t="shared" si="308"/>
        <v>0</v>
      </c>
      <c r="L553" s="195">
        <v>55</v>
      </c>
      <c r="M553" s="196">
        <f t="shared" si="309"/>
        <v>0</v>
      </c>
      <c r="N553" s="197">
        <f t="shared" si="310"/>
        <v>0</v>
      </c>
      <c r="O553" s="198"/>
      <c r="P553" s="18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</row>
    <row r="554" spans="1:77" s="41" customFormat="1" ht="15.75">
      <c r="A554" s="64">
        <f>IF(F554&lt;&gt;"",1+MAX($A$2:A553),"")</f>
        <v>458</v>
      </c>
      <c r="B554" s="313"/>
      <c r="C554" s="235" t="s">
        <v>428</v>
      </c>
      <c r="D554" s="236">
        <v>516</v>
      </c>
      <c r="E554" s="237">
        <v>0.05</v>
      </c>
      <c r="F554" s="236">
        <f t="shared" si="306"/>
        <v>541.80000000000007</v>
      </c>
      <c r="G554" s="238" t="s">
        <v>13</v>
      </c>
      <c r="H554" s="191">
        <v>0</v>
      </c>
      <c r="I554" s="192">
        <f t="shared" si="307"/>
        <v>0</v>
      </c>
      <c r="J554" s="193">
        <v>0</v>
      </c>
      <c r="K554" s="194">
        <f t="shared" si="308"/>
        <v>0</v>
      </c>
      <c r="L554" s="195">
        <v>55</v>
      </c>
      <c r="M554" s="196">
        <f t="shared" si="309"/>
        <v>0</v>
      </c>
      <c r="N554" s="197">
        <f t="shared" si="310"/>
        <v>0</v>
      </c>
      <c r="O554" s="198"/>
      <c r="P554" s="18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</row>
    <row r="555" spans="1:77" s="41" customFormat="1" ht="15.75">
      <c r="A555" s="64" t="str">
        <f>IF(F555&lt;&gt;"",1+MAX($A$2:A554),"")</f>
        <v/>
      </c>
      <c r="B555" s="313"/>
      <c r="C555" s="252" t="s">
        <v>429</v>
      </c>
      <c r="D555" s="188"/>
      <c r="E555" s="189"/>
      <c r="F555" s="188"/>
      <c r="G555" s="190"/>
      <c r="H555" s="191"/>
      <c r="I555" s="192"/>
      <c r="J555" s="192"/>
      <c r="K555" s="192"/>
      <c r="L555" s="195"/>
      <c r="M555" s="229"/>
      <c r="N555" s="197"/>
      <c r="O555" s="198"/>
      <c r="P555" s="18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</row>
    <row r="556" spans="1:77" s="41" customFormat="1" ht="15.75">
      <c r="A556" s="64">
        <f>IF(F556&lt;&gt;"",1+MAX($A$2:A555),"")</f>
        <v>459</v>
      </c>
      <c r="B556" s="313"/>
      <c r="C556" s="226" t="s">
        <v>430</v>
      </c>
      <c r="D556" s="188">
        <v>30</v>
      </c>
      <c r="E556" s="189">
        <v>0</v>
      </c>
      <c r="F556" s="188">
        <f t="shared" ref="F556:F572" si="311">(1+E556)*D556</f>
        <v>30</v>
      </c>
      <c r="G556" s="190" t="s">
        <v>14</v>
      </c>
      <c r="H556" s="191">
        <v>0</v>
      </c>
      <c r="I556" s="192">
        <f t="shared" ref="I556:I589" si="312">H556*F556</f>
        <v>0</v>
      </c>
      <c r="J556" s="193">
        <v>0</v>
      </c>
      <c r="K556" s="194">
        <f t="shared" ref="K556:K572" si="313">J556*F556</f>
        <v>0</v>
      </c>
      <c r="L556" s="195">
        <v>55</v>
      </c>
      <c r="M556" s="196">
        <f t="shared" ref="M556:M572" si="314">L556*K556</f>
        <v>0</v>
      </c>
      <c r="N556" s="197">
        <f t="shared" ref="N556:N589" si="315">M556+I556</f>
        <v>0</v>
      </c>
      <c r="O556" s="198"/>
      <c r="P556" s="18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</row>
    <row r="557" spans="1:77" s="41" customFormat="1" ht="15.75">
      <c r="A557" s="64">
        <f>IF(F557&lt;&gt;"",1+MAX($A$2:A556),"")</f>
        <v>460</v>
      </c>
      <c r="B557" s="313"/>
      <c r="C557" s="226" t="s">
        <v>431</v>
      </c>
      <c r="D557" s="188">
        <v>23</v>
      </c>
      <c r="E557" s="189">
        <v>0</v>
      </c>
      <c r="F557" s="188">
        <f t="shared" si="311"/>
        <v>23</v>
      </c>
      <c r="G557" s="190" t="s">
        <v>14</v>
      </c>
      <c r="H557" s="191">
        <v>0</v>
      </c>
      <c r="I557" s="192">
        <f t="shared" si="312"/>
        <v>0</v>
      </c>
      <c r="J557" s="193">
        <v>0</v>
      </c>
      <c r="K557" s="194">
        <f t="shared" si="313"/>
        <v>0</v>
      </c>
      <c r="L557" s="195">
        <v>55</v>
      </c>
      <c r="M557" s="196">
        <f t="shared" si="314"/>
        <v>0</v>
      </c>
      <c r="N557" s="197">
        <f t="shared" si="315"/>
        <v>0</v>
      </c>
      <c r="O557" s="198"/>
      <c r="P557" s="18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</row>
    <row r="558" spans="1:77" s="41" customFormat="1" ht="15.75">
      <c r="A558" s="64">
        <f>IF(F558&lt;&gt;"",1+MAX($A$2:A557),"")</f>
        <v>461</v>
      </c>
      <c r="B558" s="313"/>
      <c r="C558" s="226" t="s">
        <v>432</v>
      </c>
      <c r="D558" s="188">
        <v>23</v>
      </c>
      <c r="E558" s="189">
        <v>0</v>
      </c>
      <c r="F558" s="188">
        <f t="shared" si="311"/>
        <v>23</v>
      </c>
      <c r="G558" s="190" t="s">
        <v>14</v>
      </c>
      <c r="H558" s="191">
        <v>0</v>
      </c>
      <c r="I558" s="192">
        <f t="shared" si="312"/>
        <v>0</v>
      </c>
      <c r="J558" s="193">
        <v>0</v>
      </c>
      <c r="K558" s="194">
        <f t="shared" si="313"/>
        <v>0</v>
      </c>
      <c r="L558" s="195">
        <v>55</v>
      </c>
      <c r="M558" s="196">
        <f t="shared" si="314"/>
        <v>0</v>
      </c>
      <c r="N558" s="197">
        <f t="shared" si="315"/>
        <v>0</v>
      </c>
      <c r="O558" s="198"/>
      <c r="P558" s="18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</row>
    <row r="559" spans="1:77" s="41" customFormat="1" ht="15.75">
      <c r="A559" s="64">
        <f>IF(F559&lt;&gt;"",1+MAX($A$2:A558),"")</f>
        <v>462</v>
      </c>
      <c r="B559" s="313"/>
      <c r="C559" s="226" t="s">
        <v>433</v>
      </c>
      <c r="D559" s="188">
        <v>4</v>
      </c>
      <c r="E559" s="189">
        <v>0</v>
      </c>
      <c r="F559" s="188">
        <f t="shared" si="311"/>
        <v>4</v>
      </c>
      <c r="G559" s="190" t="s">
        <v>14</v>
      </c>
      <c r="H559" s="191">
        <v>0</v>
      </c>
      <c r="I559" s="192">
        <f t="shared" si="312"/>
        <v>0</v>
      </c>
      <c r="J559" s="193">
        <v>0</v>
      </c>
      <c r="K559" s="194">
        <f t="shared" si="313"/>
        <v>0</v>
      </c>
      <c r="L559" s="195">
        <v>55</v>
      </c>
      <c r="M559" s="196">
        <f t="shared" si="314"/>
        <v>0</v>
      </c>
      <c r="N559" s="197">
        <f t="shared" si="315"/>
        <v>0</v>
      </c>
      <c r="O559" s="198"/>
      <c r="P559" s="18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</row>
    <row r="560" spans="1:77" s="41" customFormat="1" ht="15.75">
      <c r="A560" s="64">
        <f>IF(F560&lt;&gt;"",1+MAX($A$2:A559),"")</f>
        <v>463</v>
      </c>
      <c r="B560" s="313"/>
      <c r="C560" s="226" t="s">
        <v>434</v>
      </c>
      <c r="D560" s="188">
        <v>23</v>
      </c>
      <c r="E560" s="189">
        <v>0</v>
      </c>
      <c r="F560" s="188">
        <f t="shared" si="311"/>
        <v>23</v>
      </c>
      <c r="G560" s="190" t="s">
        <v>14</v>
      </c>
      <c r="H560" s="191">
        <v>0</v>
      </c>
      <c r="I560" s="192">
        <f t="shared" si="312"/>
        <v>0</v>
      </c>
      <c r="J560" s="193">
        <v>0</v>
      </c>
      <c r="K560" s="194">
        <f t="shared" si="313"/>
        <v>0</v>
      </c>
      <c r="L560" s="195">
        <v>55</v>
      </c>
      <c r="M560" s="196">
        <f t="shared" si="314"/>
        <v>0</v>
      </c>
      <c r="N560" s="197">
        <f t="shared" si="315"/>
        <v>0</v>
      </c>
      <c r="O560" s="198"/>
      <c r="P560" s="18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</row>
    <row r="561" spans="1:77" s="41" customFormat="1" ht="15.75">
      <c r="A561" s="64">
        <f>IF(F561&lt;&gt;"",1+MAX($A$2:A560),"")</f>
        <v>464</v>
      </c>
      <c r="B561" s="313"/>
      <c r="C561" s="226" t="s">
        <v>435</v>
      </c>
      <c r="D561" s="188">
        <v>86</v>
      </c>
      <c r="E561" s="189">
        <v>0</v>
      </c>
      <c r="F561" s="188">
        <f t="shared" si="311"/>
        <v>86</v>
      </c>
      <c r="G561" s="190" t="s">
        <v>14</v>
      </c>
      <c r="H561" s="191">
        <v>0</v>
      </c>
      <c r="I561" s="192">
        <f t="shared" si="312"/>
        <v>0</v>
      </c>
      <c r="J561" s="193">
        <v>0</v>
      </c>
      <c r="K561" s="194">
        <f t="shared" si="313"/>
        <v>0</v>
      </c>
      <c r="L561" s="195">
        <v>55</v>
      </c>
      <c r="M561" s="196">
        <f t="shared" si="314"/>
        <v>0</v>
      </c>
      <c r="N561" s="197">
        <f t="shared" si="315"/>
        <v>0</v>
      </c>
      <c r="O561" s="198"/>
      <c r="P561" s="18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</row>
    <row r="562" spans="1:77" s="41" customFormat="1" ht="15.75">
      <c r="A562" s="64">
        <f>IF(F562&lt;&gt;"",1+MAX($A$2:A561),"")</f>
        <v>465</v>
      </c>
      <c r="B562" s="313"/>
      <c r="C562" s="226" t="s">
        <v>436</v>
      </c>
      <c r="D562" s="188">
        <v>23</v>
      </c>
      <c r="E562" s="189">
        <v>0</v>
      </c>
      <c r="F562" s="188">
        <f t="shared" si="311"/>
        <v>23</v>
      </c>
      <c r="G562" s="190" t="s">
        <v>14</v>
      </c>
      <c r="H562" s="191">
        <v>0</v>
      </c>
      <c r="I562" s="192">
        <f t="shared" si="312"/>
        <v>0</v>
      </c>
      <c r="J562" s="193">
        <v>0</v>
      </c>
      <c r="K562" s="194">
        <f t="shared" si="313"/>
        <v>0</v>
      </c>
      <c r="L562" s="195">
        <v>55</v>
      </c>
      <c r="M562" s="196">
        <f t="shared" si="314"/>
        <v>0</v>
      </c>
      <c r="N562" s="197">
        <f t="shared" si="315"/>
        <v>0</v>
      </c>
      <c r="O562" s="198"/>
      <c r="P562" s="18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</row>
    <row r="563" spans="1:77" s="41" customFormat="1" ht="15.75">
      <c r="A563" s="64">
        <f>IF(F563&lt;&gt;"",1+MAX($A$2:A562),"")</f>
        <v>466</v>
      </c>
      <c r="B563" s="313"/>
      <c r="C563" s="226" t="s">
        <v>437</v>
      </c>
      <c r="D563" s="188">
        <v>26</v>
      </c>
      <c r="E563" s="189">
        <v>0</v>
      </c>
      <c r="F563" s="188">
        <f t="shared" si="311"/>
        <v>26</v>
      </c>
      <c r="G563" s="190" t="s">
        <v>14</v>
      </c>
      <c r="H563" s="191">
        <v>0</v>
      </c>
      <c r="I563" s="192">
        <f t="shared" si="312"/>
        <v>0</v>
      </c>
      <c r="J563" s="193">
        <v>0</v>
      </c>
      <c r="K563" s="194">
        <f t="shared" si="313"/>
        <v>0</v>
      </c>
      <c r="L563" s="195">
        <v>55</v>
      </c>
      <c r="M563" s="196">
        <f t="shared" si="314"/>
        <v>0</v>
      </c>
      <c r="N563" s="197">
        <f t="shared" si="315"/>
        <v>0</v>
      </c>
      <c r="O563" s="198"/>
      <c r="P563" s="18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</row>
    <row r="564" spans="1:77" s="41" customFormat="1" ht="15.75">
      <c r="A564" s="64">
        <f>IF(F564&lt;&gt;"",1+MAX($A$2:A563),"")</f>
        <v>467</v>
      </c>
      <c r="B564" s="313"/>
      <c r="C564" s="226" t="s">
        <v>438</v>
      </c>
      <c r="D564" s="188">
        <v>14</v>
      </c>
      <c r="E564" s="189">
        <v>0</v>
      </c>
      <c r="F564" s="188">
        <f t="shared" si="311"/>
        <v>14</v>
      </c>
      <c r="G564" s="190" t="s">
        <v>14</v>
      </c>
      <c r="H564" s="191">
        <v>0</v>
      </c>
      <c r="I564" s="192">
        <f t="shared" si="312"/>
        <v>0</v>
      </c>
      <c r="J564" s="193">
        <v>0</v>
      </c>
      <c r="K564" s="194">
        <f t="shared" si="313"/>
        <v>0</v>
      </c>
      <c r="L564" s="195">
        <v>55</v>
      </c>
      <c r="M564" s="196">
        <f t="shared" si="314"/>
        <v>0</v>
      </c>
      <c r="N564" s="197">
        <f t="shared" si="315"/>
        <v>0</v>
      </c>
      <c r="O564" s="198"/>
      <c r="P564" s="18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</row>
    <row r="565" spans="1:77" s="41" customFormat="1" ht="15.75">
      <c r="A565" s="64">
        <f>IF(F565&lt;&gt;"",1+MAX($A$2:A564),"")</f>
        <v>468</v>
      </c>
      <c r="B565" s="313"/>
      <c r="C565" s="226" t="s">
        <v>439</v>
      </c>
      <c r="D565" s="188">
        <v>63</v>
      </c>
      <c r="E565" s="189">
        <v>0</v>
      </c>
      <c r="F565" s="188">
        <f t="shared" si="311"/>
        <v>63</v>
      </c>
      <c r="G565" s="190" t="s">
        <v>14</v>
      </c>
      <c r="H565" s="191">
        <v>0</v>
      </c>
      <c r="I565" s="192">
        <f t="shared" si="312"/>
        <v>0</v>
      </c>
      <c r="J565" s="193">
        <v>0</v>
      </c>
      <c r="K565" s="194">
        <f t="shared" si="313"/>
        <v>0</v>
      </c>
      <c r="L565" s="195">
        <v>55</v>
      </c>
      <c r="M565" s="196">
        <f t="shared" si="314"/>
        <v>0</v>
      </c>
      <c r="N565" s="197">
        <f t="shared" si="315"/>
        <v>0</v>
      </c>
      <c r="O565" s="198"/>
      <c r="P565" s="18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</row>
    <row r="566" spans="1:77" s="41" customFormat="1" ht="31.5">
      <c r="A566" s="64">
        <f>IF(F566&lt;&gt;"",1+MAX($A$2:A565),"")</f>
        <v>469</v>
      </c>
      <c r="B566" s="313"/>
      <c r="C566" s="226" t="s">
        <v>440</v>
      </c>
      <c r="D566" s="188">
        <v>1</v>
      </c>
      <c r="E566" s="189">
        <v>0</v>
      </c>
      <c r="F566" s="188">
        <f t="shared" si="311"/>
        <v>1</v>
      </c>
      <c r="G566" s="190" t="s">
        <v>14</v>
      </c>
      <c r="H566" s="191">
        <v>0</v>
      </c>
      <c r="I566" s="192">
        <f t="shared" si="312"/>
        <v>0</v>
      </c>
      <c r="J566" s="193">
        <v>0</v>
      </c>
      <c r="K566" s="194">
        <f t="shared" si="313"/>
        <v>0</v>
      </c>
      <c r="L566" s="195">
        <v>55</v>
      </c>
      <c r="M566" s="196">
        <f t="shared" si="314"/>
        <v>0</v>
      </c>
      <c r="N566" s="197">
        <f t="shared" si="315"/>
        <v>0</v>
      </c>
      <c r="O566" s="198"/>
      <c r="P566" s="18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</row>
    <row r="567" spans="1:77" s="41" customFormat="1" ht="31.5">
      <c r="A567" s="64">
        <f>IF(F567&lt;&gt;"",1+MAX($A$2:A566),"")</f>
        <v>470</v>
      </c>
      <c r="B567" s="313"/>
      <c r="C567" s="226" t="s">
        <v>441</v>
      </c>
      <c r="D567" s="188">
        <v>6</v>
      </c>
      <c r="E567" s="189">
        <v>0</v>
      </c>
      <c r="F567" s="188">
        <f t="shared" si="311"/>
        <v>6</v>
      </c>
      <c r="G567" s="190" t="s">
        <v>14</v>
      </c>
      <c r="H567" s="191">
        <v>0</v>
      </c>
      <c r="I567" s="192">
        <f t="shared" si="312"/>
        <v>0</v>
      </c>
      <c r="J567" s="193">
        <v>0</v>
      </c>
      <c r="K567" s="194">
        <f t="shared" si="313"/>
        <v>0</v>
      </c>
      <c r="L567" s="195">
        <v>55</v>
      </c>
      <c r="M567" s="196">
        <f t="shared" si="314"/>
        <v>0</v>
      </c>
      <c r="N567" s="197">
        <f t="shared" si="315"/>
        <v>0</v>
      </c>
      <c r="O567" s="198"/>
      <c r="P567" s="18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</row>
    <row r="568" spans="1:77" s="41" customFormat="1" ht="31.5">
      <c r="A568" s="64">
        <f>IF(F568&lt;&gt;"",1+MAX($A$2:A567),"")</f>
        <v>471</v>
      </c>
      <c r="B568" s="313"/>
      <c r="C568" s="226" t="s">
        <v>442</v>
      </c>
      <c r="D568" s="188">
        <v>1</v>
      </c>
      <c r="E568" s="189">
        <v>0</v>
      </c>
      <c r="F568" s="188">
        <f t="shared" si="311"/>
        <v>1</v>
      </c>
      <c r="G568" s="190" t="s">
        <v>14</v>
      </c>
      <c r="H568" s="191">
        <v>0</v>
      </c>
      <c r="I568" s="192">
        <f t="shared" si="312"/>
        <v>0</v>
      </c>
      <c r="J568" s="193">
        <v>0</v>
      </c>
      <c r="K568" s="194">
        <f t="shared" si="313"/>
        <v>0</v>
      </c>
      <c r="L568" s="195">
        <v>55</v>
      </c>
      <c r="M568" s="196">
        <f t="shared" si="314"/>
        <v>0</v>
      </c>
      <c r="N568" s="197">
        <f t="shared" si="315"/>
        <v>0</v>
      </c>
      <c r="O568" s="198"/>
      <c r="P568" s="18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</row>
    <row r="569" spans="1:77" s="41" customFormat="1" ht="31.5">
      <c r="A569" s="64">
        <f>IF(F569&lt;&gt;"",1+MAX($A$2:A568),"")</f>
        <v>472</v>
      </c>
      <c r="B569" s="313"/>
      <c r="C569" s="226" t="s">
        <v>443</v>
      </c>
      <c r="D569" s="188">
        <v>22</v>
      </c>
      <c r="E569" s="189">
        <v>0</v>
      </c>
      <c r="F569" s="188">
        <f t="shared" si="311"/>
        <v>22</v>
      </c>
      <c r="G569" s="190" t="s">
        <v>14</v>
      </c>
      <c r="H569" s="191">
        <v>0</v>
      </c>
      <c r="I569" s="192">
        <f t="shared" si="312"/>
        <v>0</v>
      </c>
      <c r="J569" s="193">
        <v>0</v>
      </c>
      <c r="K569" s="194">
        <f t="shared" si="313"/>
        <v>0</v>
      </c>
      <c r="L569" s="195">
        <v>55</v>
      </c>
      <c r="M569" s="196">
        <f t="shared" si="314"/>
        <v>0</v>
      </c>
      <c r="N569" s="197">
        <f t="shared" si="315"/>
        <v>0</v>
      </c>
      <c r="O569" s="198"/>
      <c r="P569" s="18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</row>
    <row r="570" spans="1:77" s="41" customFormat="1" ht="31.5">
      <c r="A570" s="64">
        <f>IF(F570&lt;&gt;"",1+MAX($A$2:A569),"")</f>
        <v>473</v>
      </c>
      <c r="B570" s="313"/>
      <c r="C570" s="226" t="s">
        <v>444</v>
      </c>
      <c r="D570" s="188">
        <v>22</v>
      </c>
      <c r="E570" s="189">
        <v>0</v>
      </c>
      <c r="F570" s="188">
        <f t="shared" si="311"/>
        <v>22</v>
      </c>
      <c r="G570" s="190" t="s">
        <v>14</v>
      </c>
      <c r="H570" s="191">
        <v>0</v>
      </c>
      <c r="I570" s="192">
        <f t="shared" si="312"/>
        <v>0</v>
      </c>
      <c r="J570" s="193">
        <v>0</v>
      </c>
      <c r="K570" s="194">
        <f t="shared" si="313"/>
        <v>0</v>
      </c>
      <c r="L570" s="195">
        <v>55</v>
      </c>
      <c r="M570" s="196">
        <f t="shared" si="314"/>
        <v>0</v>
      </c>
      <c r="N570" s="197">
        <f t="shared" si="315"/>
        <v>0</v>
      </c>
      <c r="O570" s="198"/>
      <c r="P570" s="18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</row>
    <row r="571" spans="1:77" s="41" customFormat="1" ht="31.5">
      <c r="A571" s="64">
        <f>IF(F571&lt;&gt;"",1+MAX($A$2:A570),"")</f>
        <v>474</v>
      </c>
      <c r="B571" s="313"/>
      <c r="C571" s="226" t="s">
        <v>445</v>
      </c>
      <c r="D571" s="188">
        <v>36</v>
      </c>
      <c r="E571" s="189">
        <v>0</v>
      </c>
      <c r="F571" s="188">
        <f t="shared" si="311"/>
        <v>36</v>
      </c>
      <c r="G571" s="190" t="s">
        <v>14</v>
      </c>
      <c r="H571" s="191">
        <v>0</v>
      </c>
      <c r="I571" s="192">
        <f t="shared" si="312"/>
        <v>0</v>
      </c>
      <c r="J571" s="193">
        <v>0</v>
      </c>
      <c r="K571" s="194">
        <f t="shared" si="313"/>
        <v>0</v>
      </c>
      <c r="L571" s="195">
        <v>55</v>
      </c>
      <c r="M571" s="196">
        <f t="shared" si="314"/>
        <v>0</v>
      </c>
      <c r="N571" s="197">
        <f t="shared" si="315"/>
        <v>0</v>
      </c>
      <c r="O571" s="198"/>
      <c r="P571" s="18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</row>
    <row r="572" spans="1:77" s="41" customFormat="1" ht="31.5">
      <c r="A572" s="64">
        <f>IF(F572&lt;&gt;"",1+MAX($A$2:A571),"")</f>
        <v>475</v>
      </c>
      <c r="B572" s="313"/>
      <c r="C572" s="226" t="s">
        <v>446</v>
      </c>
      <c r="D572" s="188">
        <v>4</v>
      </c>
      <c r="E572" s="189">
        <v>0</v>
      </c>
      <c r="F572" s="188">
        <f t="shared" si="311"/>
        <v>4</v>
      </c>
      <c r="G572" s="190" t="s">
        <v>14</v>
      </c>
      <c r="H572" s="191">
        <v>0</v>
      </c>
      <c r="I572" s="192">
        <f t="shared" si="312"/>
        <v>0</v>
      </c>
      <c r="J572" s="193">
        <v>0</v>
      </c>
      <c r="K572" s="194">
        <f t="shared" si="313"/>
        <v>0</v>
      </c>
      <c r="L572" s="195">
        <v>55</v>
      </c>
      <c r="M572" s="196">
        <f t="shared" si="314"/>
        <v>0</v>
      </c>
      <c r="N572" s="197">
        <f t="shared" si="315"/>
        <v>0</v>
      </c>
      <c r="O572" s="198"/>
      <c r="P572" s="18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</row>
    <row r="573" spans="1:77" s="41" customFormat="1" ht="15.75">
      <c r="A573" s="64" t="str">
        <f>IF(F573&lt;&gt;"",1+MAX($A$2:A572),"")</f>
        <v/>
      </c>
      <c r="B573" s="313"/>
      <c r="C573" s="252" t="s">
        <v>447</v>
      </c>
      <c r="D573" s="188"/>
      <c r="E573" s="189"/>
      <c r="F573" s="188"/>
      <c r="G573" s="190"/>
      <c r="H573" s="191"/>
      <c r="I573" s="192"/>
      <c r="J573" s="192"/>
      <c r="K573" s="192"/>
      <c r="L573" s="195"/>
      <c r="M573" s="229"/>
      <c r="N573" s="197"/>
      <c r="O573" s="198"/>
      <c r="P573" s="18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</row>
    <row r="574" spans="1:77" s="41" customFormat="1" ht="31.5">
      <c r="A574" s="64">
        <f>IF(F574&lt;&gt;"",1+MAX($A$2:A573),"")</f>
        <v>476</v>
      </c>
      <c r="B574" s="313"/>
      <c r="C574" s="262" t="s">
        <v>448</v>
      </c>
      <c r="D574" s="188">
        <v>1</v>
      </c>
      <c r="E574" s="189">
        <v>0</v>
      </c>
      <c r="F574" s="188">
        <f t="shared" ref="F574:F589" si="316">(1+E574)*D574</f>
        <v>1</v>
      </c>
      <c r="G574" s="190" t="s">
        <v>14</v>
      </c>
      <c r="H574" s="191">
        <v>0</v>
      </c>
      <c r="I574" s="192">
        <f t="shared" si="312"/>
        <v>0</v>
      </c>
      <c r="J574" s="193">
        <v>0</v>
      </c>
      <c r="K574" s="194">
        <f t="shared" ref="K574:K589" si="317">J574*F574</f>
        <v>0</v>
      </c>
      <c r="L574" s="195">
        <v>55</v>
      </c>
      <c r="M574" s="196">
        <f t="shared" ref="M574:M589" si="318">L574*K574</f>
        <v>0</v>
      </c>
      <c r="N574" s="197">
        <f t="shared" si="315"/>
        <v>0</v>
      </c>
      <c r="O574" s="198"/>
      <c r="P574" s="18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</row>
    <row r="575" spans="1:77" s="41" customFormat="1" ht="15.75">
      <c r="A575" s="64">
        <f>IF(F575&lt;&gt;"",1+MAX($A$2:A574),"")</f>
        <v>477</v>
      </c>
      <c r="B575" s="313"/>
      <c r="C575" s="262" t="s">
        <v>449</v>
      </c>
      <c r="D575" s="188">
        <v>1</v>
      </c>
      <c r="E575" s="189">
        <v>0</v>
      </c>
      <c r="F575" s="188">
        <f t="shared" si="316"/>
        <v>1</v>
      </c>
      <c r="G575" s="190" t="s">
        <v>14</v>
      </c>
      <c r="H575" s="191">
        <v>0</v>
      </c>
      <c r="I575" s="192">
        <f t="shared" si="312"/>
        <v>0</v>
      </c>
      <c r="J575" s="193">
        <v>0</v>
      </c>
      <c r="K575" s="194">
        <f t="shared" si="317"/>
        <v>0</v>
      </c>
      <c r="L575" s="195">
        <v>55</v>
      </c>
      <c r="M575" s="196">
        <f t="shared" si="318"/>
        <v>0</v>
      </c>
      <c r="N575" s="197">
        <f t="shared" si="315"/>
        <v>0</v>
      </c>
      <c r="O575" s="198"/>
      <c r="P575" s="18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</row>
    <row r="576" spans="1:77" s="41" customFormat="1" ht="15.75">
      <c r="A576" s="64">
        <f>IF(F576&lt;&gt;"",1+MAX($A$2:A575),"")</f>
        <v>478</v>
      </c>
      <c r="B576" s="313"/>
      <c r="C576" s="262" t="s">
        <v>450</v>
      </c>
      <c r="D576" s="188">
        <v>1</v>
      </c>
      <c r="E576" s="189">
        <v>0</v>
      </c>
      <c r="F576" s="188">
        <f t="shared" si="316"/>
        <v>1</v>
      </c>
      <c r="G576" s="190" t="s">
        <v>14</v>
      </c>
      <c r="H576" s="191">
        <v>0</v>
      </c>
      <c r="I576" s="192">
        <f t="shared" si="312"/>
        <v>0</v>
      </c>
      <c r="J576" s="193">
        <v>0</v>
      </c>
      <c r="K576" s="194">
        <f t="shared" si="317"/>
        <v>0</v>
      </c>
      <c r="L576" s="195">
        <v>55</v>
      </c>
      <c r="M576" s="196">
        <f t="shared" si="318"/>
        <v>0</v>
      </c>
      <c r="N576" s="197">
        <f t="shared" si="315"/>
        <v>0</v>
      </c>
      <c r="O576" s="198"/>
      <c r="P576" s="18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</row>
    <row r="577" spans="1:77" s="41" customFormat="1" ht="15.75">
      <c r="A577" s="64">
        <f>IF(F577&lt;&gt;"",1+MAX($A$2:A576),"")</f>
        <v>479</v>
      </c>
      <c r="B577" s="313"/>
      <c r="C577" s="262" t="s">
        <v>451</v>
      </c>
      <c r="D577" s="188">
        <v>1</v>
      </c>
      <c r="E577" s="189">
        <v>0</v>
      </c>
      <c r="F577" s="188">
        <f t="shared" si="316"/>
        <v>1</v>
      </c>
      <c r="G577" s="190" t="s">
        <v>14</v>
      </c>
      <c r="H577" s="191">
        <v>0</v>
      </c>
      <c r="I577" s="192">
        <f t="shared" si="312"/>
        <v>0</v>
      </c>
      <c r="J577" s="193">
        <v>0</v>
      </c>
      <c r="K577" s="194">
        <f t="shared" si="317"/>
        <v>0</v>
      </c>
      <c r="L577" s="195">
        <v>55</v>
      </c>
      <c r="M577" s="196">
        <f t="shared" si="318"/>
        <v>0</v>
      </c>
      <c r="N577" s="197">
        <f t="shared" si="315"/>
        <v>0</v>
      </c>
      <c r="O577" s="198"/>
      <c r="P577" s="18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</row>
    <row r="578" spans="1:77" s="41" customFormat="1" ht="15.75">
      <c r="A578" s="64">
        <f>IF(F578&lt;&gt;"",1+MAX($A$2:A577),"")</f>
        <v>480</v>
      </c>
      <c r="B578" s="313"/>
      <c r="C578" s="262" t="s">
        <v>452</v>
      </c>
      <c r="D578" s="188">
        <v>1</v>
      </c>
      <c r="E578" s="189">
        <v>0</v>
      </c>
      <c r="F578" s="188">
        <f t="shared" si="316"/>
        <v>1</v>
      </c>
      <c r="G578" s="190" t="s">
        <v>14</v>
      </c>
      <c r="H578" s="191">
        <v>0</v>
      </c>
      <c r="I578" s="192">
        <f t="shared" si="312"/>
        <v>0</v>
      </c>
      <c r="J578" s="193">
        <v>0</v>
      </c>
      <c r="K578" s="194">
        <f t="shared" si="317"/>
        <v>0</v>
      </c>
      <c r="L578" s="195">
        <v>55</v>
      </c>
      <c r="M578" s="196">
        <f t="shared" si="318"/>
        <v>0</v>
      </c>
      <c r="N578" s="197">
        <f t="shared" si="315"/>
        <v>0</v>
      </c>
      <c r="O578" s="198"/>
      <c r="P578" s="18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</row>
    <row r="579" spans="1:77" s="41" customFormat="1" ht="31.5">
      <c r="A579" s="64">
        <f>IF(F579&lt;&gt;"",1+MAX($A$2:A578),"")</f>
        <v>481</v>
      </c>
      <c r="B579" s="313"/>
      <c r="C579" s="262" t="s">
        <v>453</v>
      </c>
      <c r="D579" s="188">
        <v>1</v>
      </c>
      <c r="E579" s="189">
        <v>0</v>
      </c>
      <c r="F579" s="188">
        <f t="shared" si="316"/>
        <v>1</v>
      </c>
      <c r="G579" s="190" t="s">
        <v>14</v>
      </c>
      <c r="H579" s="191">
        <v>0</v>
      </c>
      <c r="I579" s="192">
        <f t="shared" si="312"/>
        <v>0</v>
      </c>
      <c r="J579" s="193">
        <v>0</v>
      </c>
      <c r="K579" s="194">
        <f t="shared" si="317"/>
        <v>0</v>
      </c>
      <c r="L579" s="195">
        <v>55</v>
      </c>
      <c r="M579" s="196">
        <f t="shared" si="318"/>
        <v>0</v>
      </c>
      <c r="N579" s="197">
        <f t="shared" si="315"/>
        <v>0</v>
      </c>
      <c r="O579" s="198"/>
      <c r="P579" s="18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</row>
    <row r="580" spans="1:77" s="41" customFormat="1" ht="31.5">
      <c r="A580" s="64">
        <f>IF(F580&lt;&gt;"",1+MAX($A$2:A579),"")</f>
        <v>482</v>
      </c>
      <c r="B580" s="313"/>
      <c r="C580" s="262" t="s">
        <v>454</v>
      </c>
      <c r="D580" s="188">
        <v>1</v>
      </c>
      <c r="E580" s="189">
        <v>0</v>
      </c>
      <c r="F580" s="188">
        <f t="shared" si="316"/>
        <v>1</v>
      </c>
      <c r="G580" s="190" t="s">
        <v>14</v>
      </c>
      <c r="H580" s="191">
        <v>0</v>
      </c>
      <c r="I580" s="192">
        <f t="shared" si="312"/>
        <v>0</v>
      </c>
      <c r="J580" s="193">
        <v>0</v>
      </c>
      <c r="K580" s="194">
        <f t="shared" si="317"/>
        <v>0</v>
      </c>
      <c r="L580" s="195">
        <v>55</v>
      </c>
      <c r="M580" s="196">
        <f t="shared" si="318"/>
        <v>0</v>
      </c>
      <c r="N580" s="197">
        <f t="shared" si="315"/>
        <v>0</v>
      </c>
      <c r="O580" s="198"/>
      <c r="P580" s="18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</row>
    <row r="581" spans="1:77" s="41" customFormat="1" ht="31.5">
      <c r="A581" s="64">
        <f>IF(F581&lt;&gt;"",1+MAX($A$2:A580),"")</f>
        <v>483</v>
      </c>
      <c r="B581" s="313"/>
      <c r="C581" s="262" t="s">
        <v>455</v>
      </c>
      <c r="D581" s="188">
        <v>1</v>
      </c>
      <c r="E581" s="189">
        <v>0</v>
      </c>
      <c r="F581" s="188">
        <f t="shared" si="316"/>
        <v>1</v>
      </c>
      <c r="G581" s="190" t="s">
        <v>14</v>
      </c>
      <c r="H581" s="191">
        <v>0</v>
      </c>
      <c r="I581" s="192">
        <f t="shared" si="312"/>
        <v>0</v>
      </c>
      <c r="J581" s="193">
        <v>0</v>
      </c>
      <c r="K581" s="194">
        <f t="shared" si="317"/>
        <v>0</v>
      </c>
      <c r="L581" s="195">
        <v>55</v>
      </c>
      <c r="M581" s="196">
        <f t="shared" si="318"/>
        <v>0</v>
      </c>
      <c r="N581" s="197">
        <f t="shared" si="315"/>
        <v>0</v>
      </c>
      <c r="O581" s="198"/>
      <c r="P581" s="18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</row>
    <row r="582" spans="1:77" s="41" customFormat="1" ht="15.75">
      <c r="A582" s="64">
        <f>IF(F582&lt;&gt;"",1+MAX($A$2:A581),"")</f>
        <v>484</v>
      </c>
      <c r="B582" s="313"/>
      <c r="C582" s="265" t="s">
        <v>456</v>
      </c>
      <c r="D582" s="188"/>
      <c r="E582" s="189">
        <v>0</v>
      </c>
      <c r="F582" s="188">
        <f t="shared" si="316"/>
        <v>0</v>
      </c>
      <c r="G582" s="190" t="s">
        <v>14</v>
      </c>
      <c r="H582" s="191">
        <v>0</v>
      </c>
      <c r="I582" s="192">
        <f t="shared" si="312"/>
        <v>0</v>
      </c>
      <c r="J582" s="193">
        <v>0</v>
      </c>
      <c r="K582" s="194">
        <f t="shared" si="317"/>
        <v>0</v>
      </c>
      <c r="L582" s="195">
        <v>55</v>
      </c>
      <c r="M582" s="196">
        <f t="shared" si="318"/>
        <v>0</v>
      </c>
      <c r="N582" s="197">
        <f t="shared" si="315"/>
        <v>0</v>
      </c>
      <c r="O582" s="198"/>
      <c r="P582" s="18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</row>
    <row r="583" spans="1:77" s="41" customFormat="1" ht="15.75">
      <c r="A583" s="64">
        <f>IF(F583&lt;&gt;"",1+MAX($A$2:A582),"")</f>
        <v>485</v>
      </c>
      <c r="B583" s="313"/>
      <c r="C583" s="265" t="s">
        <v>457</v>
      </c>
      <c r="D583" s="188">
        <v>1</v>
      </c>
      <c r="E583" s="189">
        <v>0</v>
      </c>
      <c r="F583" s="188">
        <f t="shared" si="316"/>
        <v>1</v>
      </c>
      <c r="G583" s="190" t="s">
        <v>14</v>
      </c>
      <c r="H583" s="191">
        <v>0</v>
      </c>
      <c r="I583" s="192">
        <f t="shared" si="312"/>
        <v>0</v>
      </c>
      <c r="J583" s="193">
        <v>0</v>
      </c>
      <c r="K583" s="194">
        <f t="shared" si="317"/>
        <v>0</v>
      </c>
      <c r="L583" s="195">
        <v>55</v>
      </c>
      <c r="M583" s="196">
        <f t="shared" si="318"/>
        <v>0</v>
      </c>
      <c r="N583" s="197">
        <f t="shared" si="315"/>
        <v>0</v>
      </c>
      <c r="O583" s="198"/>
      <c r="P583" s="18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</row>
    <row r="584" spans="1:77" s="41" customFormat="1" ht="15.75">
      <c r="A584" s="64">
        <f>IF(F584&lt;&gt;"",1+MAX($A$2:A583),"")</f>
        <v>486</v>
      </c>
      <c r="B584" s="313"/>
      <c r="C584" s="265" t="s">
        <v>458</v>
      </c>
      <c r="D584" s="188">
        <v>1</v>
      </c>
      <c r="E584" s="189">
        <v>0</v>
      </c>
      <c r="F584" s="188">
        <f t="shared" si="316"/>
        <v>1</v>
      </c>
      <c r="G584" s="190" t="s">
        <v>14</v>
      </c>
      <c r="H584" s="191">
        <v>0</v>
      </c>
      <c r="I584" s="192">
        <f t="shared" si="312"/>
        <v>0</v>
      </c>
      <c r="J584" s="193">
        <v>0</v>
      </c>
      <c r="K584" s="194">
        <f t="shared" si="317"/>
        <v>0</v>
      </c>
      <c r="L584" s="195">
        <v>55</v>
      </c>
      <c r="M584" s="196">
        <f t="shared" si="318"/>
        <v>0</v>
      </c>
      <c r="N584" s="197">
        <f t="shared" si="315"/>
        <v>0</v>
      </c>
      <c r="O584" s="198"/>
      <c r="P584" s="18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</row>
    <row r="585" spans="1:77" s="41" customFormat="1" ht="15.75">
      <c r="A585" s="64">
        <f>IF(F585&lt;&gt;"",1+MAX($A$2:A584),"")</f>
        <v>487</v>
      </c>
      <c r="B585" s="313"/>
      <c r="C585" s="265" t="s">
        <v>459</v>
      </c>
      <c r="D585" s="188">
        <v>1</v>
      </c>
      <c r="E585" s="189">
        <v>0</v>
      </c>
      <c r="F585" s="188">
        <f t="shared" si="316"/>
        <v>1</v>
      </c>
      <c r="G585" s="190" t="s">
        <v>14</v>
      </c>
      <c r="H585" s="191">
        <v>0</v>
      </c>
      <c r="I585" s="192">
        <f t="shared" si="312"/>
        <v>0</v>
      </c>
      <c r="J585" s="193">
        <v>0</v>
      </c>
      <c r="K585" s="194">
        <f t="shared" si="317"/>
        <v>0</v>
      </c>
      <c r="L585" s="195">
        <v>55</v>
      </c>
      <c r="M585" s="196">
        <f t="shared" si="318"/>
        <v>0</v>
      </c>
      <c r="N585" s="197">
        <f t="shared" si="315"/>
        <v>0</v>
      </c>
      <c r="O585" s="198"/>
      <c r="P585" s="18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</row>
    <row r="586" spans="1:77" s="41" customFormat="1" ht="15.75">
      <c r="A586" s="64">
        <f>IF(F586&lt;&gt;"",1+MAX($A$2:A585),"")</f>
        <v>488</v>
      </c>
      <c r="B586" s="313"/>
      <c r="C586" s="265" t="s">
        <v>460</v>
      </c>
      <c r="D586" s="188">
        <v>1</v>
      </c>
      <c r="E586" s="189">
        <v>0</v>
      </c>
      <c r="F586" s="188">
        <f t="shared" si="316"/>
        <v>1</v>
      </c>
      <c r="G586" s="190" t="s">
        <v>14</v>
      </c>
      <c r="H586" s="191">
        <v>0</v>
      </c>
      <c r="I586" s="192">
        <f t="shared" si="312"/>
        <v>0</v>
      </c>
      <c r="J586" s="193">
        <v>0</v>
      </c>
      <c r="K586" s="194">
        <f t="shared" si="317"/>
        <v>0</v>
      </c>
      <c r="L586" s="195">
        <v>55</v>
      </c>
      <c r="M586" s="196">
        <f t="shared" si="318"/>
        <v>0</v>
      </c>
      <c r="N586" s="197">
        <f t="shared" si="315"/>
        <v>0</v>
      </c>
      <c r="O586" s="198"/>
      <c r="P586" s="18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</row>
    <row r="587" spans="1:77" s="41" customFormat="1" ht="15.75">
      <c r="A587" s="64">
        <f>IF(F587&lt;&gt;"",1+MAX($A$2:A586),"")</f>
        <v>489</v>
      </c>
      <c r="B587" s="313"/>
      <c r="C587" s="262" t="s">
        <v>461</v>
      </c>
      <c r="D587" s="188">
        <v>1</v>
      </c>
      <c r="E587" s="189">
        <v>0</v>
      </c>
      <c r="F587" s="188">
        <f t="shared" si="316"/>
        <v>1</v>
      </c>
      <c r="G587" s="190" t="s">
        <v>14</v>
      </c>
      <c r="H587" s="191">
        <v>0</v>
      </c>
      <c r="I587" s="192">
        <f t="shared" si="312"/>
        <v>0</v>
      </c>
      <c r="J587" s="193">
        <v>0</v>
      </c>
      <c r="K587" s="194">
        <f t="shared" si="317"/>
        <v>0</v>
      </c>
      <c r="L587" s="195">
        <v>55</v>
      </c>
      <c r="M587" s="196">
        <f t="shared" si="318"/>
        <v>0</v>
      </c>
      <c r="N587" s="197">
        <f t="shared" si="315"/>
        <v>0</v>
      </c>
      <c r="O587" s="198"/>
      <c r="P587" s="18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</row>
    <row r="588" spans="1:77" s="41" customFormat="1" ht="15.75">
      <c r="A588" s="64">
        <f>IF(F588&lt;&gt;"",1+MAX($A$2:A587),"")</f>
        <v>490</v>
      </c>
      <c r="B588" s="313"/>
      <c r="C588" s="262" t="s">
        <v>462</v>
      </c>
      <c r="D588" s="188">
        <v>1</v>
      </c>
      <c r="E588" s="189">
        <v>0</v>
      </c>
      <c r="F588" s="188">
        <f t="shared" si="316"/>
        <v>1</v>
      </c>
      <c r="G588" s="190" t="s">
        <v>14</v>
      </c>
      <c r="H588" s="191">
        <v>0</v>
      </c>
      <c r="I588" s="192">
        <f t="shared" si="312"/>
        <v>0</v>
      </c>
      <c r="J588" s="193">
        <v>0</v>
      </c>
      <c r="K588" s="194">
        <f t="shared" si="317"/>
        <v>0</v>
      </c>
      <c r="L588" s="195">
        <v>55</v>
      </c>
      <c r="M588" s="196">
        <f t="shared" si="318"/>
        <v>0</v>
      </c>
      <c r="N588" s="197">
        <f t="shared" si="315"/>
        <v>0</v>
      </c>
      <c r="O588" s="198"/>
      <c r="P588" s="18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</row>
    <row r="589" spans="1:77" s="41" customFormat="1" ht="47.25">
      <c r="A589" s="64">
        <f>IF(F589&lt;&gt;"",1+MAX($A$2:A588),"")</f>
        <v>491</v>
      </c>
      <c r="B589" s="313"/>
      <c r="C589" s="262" t="s">
        <v>463</v>
      </c>
      <c r="D589" s="188"/>
      <c r="E589" s="189">
        <v>0</v>
      </c>
      <c r="F589" s="188">
        <f t="shared" si="316"/>
        <v>0</v>
      </c>
      <c r="G589" s="190" t="s">
        <v>14</v>
      </c>
      <c r="H589" s="191">
        <v>0</v>
      </c>
      <c r="I589" s="192">
        <f t="shared" si="312"/>
        <v>0</v>
      </c>
      <c r="J589" s="193">
        <v>0</v>
      </c>
      <c r="K589" s="194">
        <f t="shared" si="317"/>
        <v>0</v>
      </c>
      <c r="L589" s="195">
        <v>55</v>
      </c>
      <c r="M589" s="196">
        <f t="shared" si="318"/>
        <v>0</v>
      </c>
      <c r="N589" s="197">
        <f t="shared" si="315"/>
        <v>0</v>
      </c>
      <c r="O589" s="198"/>
      <c r="P589" s="18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</row>
    <row r="590" spans="1:77" s="41" customFormat="1" ht="15.75">
      <c r="A590" s="64" t="str">
        <f>IF(F590&lt;&gt;"",1+MAX($A$2:A589),"")</f>
        <v/>
      </c>
      <c r="B590" s="313"/>
      <c r="C590" s="252" t="s">
        <v>464</v>
      </c>
      <c r="D590" s="188"/>
      <c r="E590" s="189"/>
      <c r="F590" s="188"/>
      <c r="G590" s="190"/>
      <c r="H590" s="191"/>
      <c r="I590" s="192"/>
      <c r="J590" s="192"/>
      <c r="K590" s="192"/>
      <c r="L590" s="195"/>
      <c r="M590" s="229"/>
      <c r="N590" s="197"/>
      <c r="O590" s="198"/>
      <c r="P590" s="18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</row>
    <row r="591" spans="1:77" s="41" customFormat="1" ht="15.75">
      <c r="A591" s="64">
        <f>IF(F591&lt;&gt;"",1+MAX($A$2:A590),"")</f>
        <v>492</v>
      </c>
      <c r="B591" s="313"/>
      <c r="C591" s="226" t="s">
        <v>465</v>
      </c>
      <c r="D591" s="188">
        <v>87</v>
      </c>
      <c r="E591" s="189">
        <v>0</v>
      </c>
      <c r="F591" s="188">
        <f t="shared" ref="F591:F623" si="319">(1+E591)*D591</f>
        <v>87</v>
      </c>
      <c r="G591" s="190" t="s">
        <v>14</v>
      </c>
      <c r="H591" s="191">
        <v>0</v>
      </c>
      <c r="I591" s="192">
        <f t="shared" ref="I591:I623" si="320">H591*F591</f>
        <v>0</v>
      </c>
      <c r="J591" s="193">
        <v>0</v>
      </c>
      <c r="K591" s="194">
        <f t="shared" ref="K591:K623" si="321">J591*F591</f>
        <v>0</v>
      </c>
      <c r="L591" s="195">
        <v>55</v>
      </c>
      <c r="M591" s="196">
        <f t="shared" ref="M591:M623" si="322">L591*K591</f>
        <v>0</v>
      </c>
      <c r="N591" s="197">
        <f t="shared" ref="N591:N623" si="323">M591+I591</f>
        <v>0</v>
      </c>
      <c r="O591" s="198"/>
      <c r="P591" s="18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</row>
    <row r="592" spans="1:77" s="41" customFormat="1" ht="15.75">
      <c r="A592" s="64">
        <f>IF(F592&lt;&gt;"",1+MAX($A$2:A591),"")</f>
        <v>493</v>
      </c>
      <c r="B592" s="313"/>
      <c r="C592" s="226" t="s">
        <v>466</v>
      </c>
      <c r="D592" s="188">
        <v>1</v>
      </c>
      <c r="E592" s="189">
        <v>0</v>
      </c>
      <c r="F592" s="188">
        <f t="shared" si="319"/>
        <v>1</v>
      </c>
      <c r="G592" s="190" t="s">
        <v>14</v>
      </c>
      <c r="H592" s="191">
        <v>0</v>
      </c>
      <c r="I592" s="192">
        <f t="shared" si="320"/>
        <v>0</v>
      </c>
      <c r="J592" s="193">
        <v>0</v>
      </c>
      <c r="K592" s="194">
        <f t="shared" si="321"/>
        <v>0</v>
      </c>
      <c r="L592" s="195">
        <v>55</v>
      </c>
      <c r="M592" s="196">
        <f t="shared" si="322"/>
        <v>0</v>
      </c>
      <c r="N592" s="197">
        <f t="shared" si="323"/>
        <v>0</v>
      </c>
      <c r="O592" s="198"/>
      <c r="P592" s="18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</row>
    <row r="593" spans="1:77" s="41" customFormat="1" ht="15.75">
      <c r="A593" s="64">
        <f>IF(F593&lt;&gt;"",1+MAX($A$2:A592),"")</f>
        <v>494</v>
      </c>
      <c r="B593" s="313"/>
      <c r="C593" s="226" t="s">
        <v>467</v>
      </c>
      <c r="D593" s="188">
        <v>1</v>
      </c>
      <c r="E593" s="189">
        <v>0</v>
      </c>
      <c r="F593" s="188">
        <f t="shared" si="319"/>
        <v>1</v>
      </c>
      <c r="G593" s="190" t="s">
        <v>14</v>
      </c>
      <c r="H593" s="191">
        <v>0</v>
      </c>
      <c r="I593" s="192">
        <f t="shared" si="320"/>
        <v>0</v>
      </c>
      <c r="J593" s="193">
        <v>0</v>
      </c>
      <c r="K593" s="194">
        <f t="shared" si="321"/>
        <v>0</v>
      </c>
      <c r="L593" s="195">
        <v>55</v>
      </c>
      <c r="M593" s="196">
        <f t="shared" si="322"/>
        <v>0</v>
      </c>
      <c r="N593" s="197">
        <f t="shared" si="323"/>
        <v>0</v>
      </c>
      <c r="O593" s="198"/>
      <c r="P593" s="18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</row>
    <row r="594" spans="1:77" s="41" customFormat="1" ht="15.75">
      <c r="A594" s="64">
        <f>IF(F594&lt;&gt;"",1+MAX($A$2:A593),"")</f>
        <v>495</v>
      </c>
      <c r="B594" s="313"/>
      <c r="C594" s="226" t="s">
        <v>468</v>
      </c>
      <c r="D594" s="188">
        <v>2</v>
      </c>
      <c r="E594" s="189">
        <v>0</v>
      </c>
      <c r="F594" s="188">
        <f t="shared" si="319"/>
        <v>2</v>
      </c>
      <c r="G594" s="190" t="s">
        <v>14</v>
      </c>
      <c r="H594" s="191">
        <v>0</v>
      </c>
      <c r="I594" s="192">
        <f t="shared" si="320"/>
        <v>0</v>
      </c>
      <c r="J594" s="193">
        <v>0</v>
      </c>
      <c r="K594" s="194">
        <f t="shared" si="321"/>
        <v>0</v>
      </c>
      <c r="L594" s="195">
        <v>55</v>
      </c>
      <c r="M594" s="196">
        <f t="shared" si="322"/>
        <v>0</v>
      </c>
      <c r="N594" s="197">
        <f t="shared" si="323"/>
        <v>0</v>
      </c>
      <c r="O594" s="198"/>
      <c r="P594" s="18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</row>
    <row r="595" spans="1:77" s="41" customFormat="1" ht="15.75">
      <c r="A595" s="64">
        <f>IF(F595&lt;&gt;"",1+MAX($A$2:A594),"")</f>
        <v>496</v>
      </c>
      <c r="B595" s="313"/>
      <c r="C595" s="226" t="s">
        <v>469</v>
      </c>
      <c r="D595" s="188">
        <v>8</v>
      </c>
      <c r="E595" s="189">
        <v>0</v>
      </c>
      <c r="F595" s="188">
        <f t="shared" si="319"/>
        <v>8</v>
      </c>
      <c r="G595" s="190" t="s">
        <v>14</v>
      </c>
      <c r="H595" s="191">
        <v>0</v>
      </c>
      <c r="I595" s="192">
        <f t="shared" si="320"/>
        <v>0</v>
      </c>
      <c r="J595" s="193">
        <v>0</v>
      </c>
      <c r="K595" s="194">
        <f t="shared" si="321"/>
        <v>0</v>
      </c>
      <c r="L595" s="195">
        <v>55</v>
      </c>
      <c r="M595" s="196">
        <f t="shared" si="322"/>
        <v>0</v>
      </c>
      <c r="N595" s="197">
        <f t="shared" si="323"/>
        <v>0</v>
      </c>
      <c r="O595" s="198"/>
      <c r="P595" s="18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</row>
    <row r="596" spans="1:77" s="41" customFormat="1" ht="15.75">
      <c r="A596" s="64">
        <f>IF(F596&lt;&gt;"",1+MAX($A$2:A595),"")</f>
        <v>497</v>
      </c>
      <c r="B596" s="313"/>
      <c r="C596" s="226" t="s">
        <v>470</v>
      </c>
      <c r="D596" s="188">
        <v>70</v>
      </c>
      <c r="E596" s="189">
        <v>0</v>
      </c>
      <c r="F596" s="188">
        <f t="shared" si="319"/>
        <v>70</v>
      </c>
      <c r="G596" s="190" t="s">
        <v>14</v>
      </c>
      <c r="H596" s="191">
        <v>0</v>
      </c>
      <c r="I596" s="192">
        <f t="shared" si="320"/>
        <v>0</v>
      </c>
      <c r="J596" s="193">
        <v>0</v>
      </c>
      <c r="K596" s="194">
        <f t="shared" si="321"/>
        <v>0</v>
      </c>
      <c r="L596" s="195">
        <v>55</v>
      </c>
      <c r="M596" s="196">
        <f t="shared" si="322"/>
        <v>0</v>
      </c>
      <c r="N596" s="197">
        <f t="shared" si="323"/>
        <v>0</v>
      </c>
      <c r="O596" s="198"/>
      <c r="P596" s="18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</row>
    <row r="597" spans="1:77" s="41" customFormat="1" ht="15.75">
      <c r="A597" s="64">
        <f>IF(F597&lt;&gt;"",1+MAX($A$2:A596),"")</f>
        <v>498</v>
      </c>
      <c r="B597" s="313"/>
      <c r="C597" s="226" t="s">
        <v>471</v>
      </c>
      <c r="D597" s="188">
        <v>3</v>
      </c>
      <c r="E597" s="189">
        <v>0</v>
      </c>
      <c r="F597" s="188">
        <f t="shared" si="319"/>
        <v>3</v>
      </c>
      <c r="G597" s="190" t="s">
        <v>14</v>
      </c>
      <c r="H597" s="191">
        <v>0</v>
      </c>
      <c r="I597" s="192">
        <f t="shared" si="320"/>
        <v>0</v>
      </c>
      <c r="J597" s="193">
        <v>0</v>
      </c>
      <c r="K597" s="194">
        <f t="shared" si="321"/>
        <v>0</v>
      </c>
      <c r="L597" s="195">
        <v>55</v>
      </c>
      <c r="M597" s="196">
        <f t="shared" si="322"/>
        <v>0</v>
      </c>
      <c r="N597" s="197">
        <f t="shared" si="323"/>
        <v>0</v>
      </c>
      <c r="O597" s="198"/>
      <c r="P597" s="18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</row>
    <row r="598" spans="1:77" s="41" customFormat="1" ht="15.75">
      <c r="A598" s="64">
        <f>IF(F598&lt;&gt;"",1+MAX($A$2:A597),"")</f>
        <v>499</v>
      </c>
      <c r="B598" s="313"/>
      <c r="C598" s="226" t="s">
        <v>472</v>
      </c>
      <c r="D598" s="188">
        <v>1</v>
      </c>
      <c r="E598" s="189">
        <v>0</v>
      </c>
      <c r="F598" s="188">
        <f t="shared" si="319"/>
        <v>1</v>
      </c>
      <c r="G598" s="190" t="s">
        <v>14</v>
      </c>
      <c r="H598" s="191">
        <v>0</v>
      </c>
      <c r="I598" s="192">
        <f t="shared" si="320"/>
        <v>0</v>
      </c>
      <c r="J598" s="193">
        <v>0</v>
      </c>
      <c r="K598" s="194">
        <f t="shared" si="321"/>
        <v>0</v>
      </c>
      <c r="L598" s="195">
        <v>55</v>
      </c>
      <c r="M598" s="196">
        <f t="shared" si="322"/>
        <v>0</v>
      </c>
      <c r="N598" s="197">
        <f t="shared" si="323"/>
        <v>0</v>
      </c>
      <c r="O598" s="198"/>
      <c r="P598" s="18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</row>
    <row r="599" spans="1:77" s="41" customFormat="1" ht="15.75">
      <c r="A599" s="64">
        <f>IF(F599&lt;&gt;"",1+MAX($A$2:A598),"")</f>
        <v>500</v>
      </c>
      <c r="B599" s="313"/>
      <c r="C599" s="226" t="s">
        <v>473</v>
      </c>
      <c r="D599" s="188">
        <v>1</v>
      </c>
      <c r="E599" s="189">
        <v>0</v>
      </c>
      <c r="F599" s="188">
        <f t="shared" si="319"/>
        <v>1</v>
      </c>
      <c r="G599" s="190" t="s">
        <v>14</v>
      </c>
      <c r="H599" s="191">
        <v>0</v>
      </c>
      <c r="I599" s="192">
        <f t="shared" si="320"/>
        <v>0</v>
      </c>
      <c r="J599" s="193">
        <v>0</v>
      </c>
      <c r="K599" s="194">
        <f t="shared" si="321"/>
        <v>0</v>
      </c>
      <c r="L599" s="195">
        <v>55</v>
      </c>
      <c r="M599" s="196">
        <f t="shared" si="322"/>
        <v>0</v>
      </c>
      <c r="N599" s="197">
        <f t="shared" si="323"/>
        <v>0</v>
      </c>
      <c r="O599" s="198"/>
      <c r="P599" s="18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</row>
    <row r="600" spans="1:77" s="41" customFormat="1" ht="15.75">
      <c r="A600" s="64">
        <f>IF(F600&lt;&gt;"",1+MAX($A$2:A599),"")</f>
        <v>501</v>
      </c>
      <c r="B600" s="313"/>
      <c r="C600" s="226" t="s">
        <v>474</v>
      </c>
      <c r="D600" s="188">
        <v>1</v>
      </c>
      <c r="E600" s="189">
        <v>0</v>
      </c>
      <c r="F600" s="188">
        <f t="shared" si="319"/>
        <v>1</v>
      </c>
      <c r="G600" s="190" t="s">
        <v>14</v>
      </c>
      <c r="H600" s="191">
        <v>0</v>
      </c>
      <c r="I600" s="192">
        <f t="shared" si="320"/>
        <v>0</v>
      </c>
      <c r="J600" s="193">
        <v>0</v>
      </c>
      <c r="K600" s="194">
        <f t="shared" si="321"/>
        <v>0</v>
      </c>
      <c r="L600" s="195">
        <v>55</v>
      </c>
      <c r="M600" s="196">
        <f t="shared" si="322"/>
        <v>0</v>
      </c>
      <c r="N600" s="197">
        <f t="shared" si="323"/>
        <v>0</v>
      </c>
      <c r="O600" s="198"/>
      <c r="P600" s="18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</row>
    <row r="601" spans="1:77" s="41" customFormat="1" ht="15.75">
      <c r="A601" s="64">
        <f>IF(F601&lt;&gt;"",1+MAX($A$2:A600),"")</f>
        <v>502</v>
      </c>
      <c r="B601" s="313"/>
      <c r="C601" s="226" t="s">
        <v>475</v>
      </c>
      <c r="D601" s="188">
        <v>83</v>
      </c>
      <c r="E601" s="189">
        <v>0</v>
      </c>
      <c r="F601" s="188">
        <f t="shared" si="319"/>
        <v>83</v>
      </c>
      <c r="G601" s="190" t="s">
        <v>14</v>
      </c>
      <c r="H601" s="191">
        <v>0</v>
      </c>
      <c r="I601" s="192">
        <f t="shared" si="320"/>
        <v>0</v>
      </c>
      <c r="J601" s="193">
        <v>0</v>
      </c>
      <c r="K601" s="194">
        <f t="shared" si="321"/>
        <v>0</v>
      </c>
      <c r="L601" s="195">
        <v>55</v>
      </c>
      <c r="M601" s="196">
        <f t="shared" si="322"/>
        <v>0</v>
      </c>
      <c r="N601" s="197">
        <f t="shared" si="323"/>
        <v>0</v>
      </c>
      <c r="O601" s="198"/>
      <c r="P601" s="18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</row>
    <row r="602" spans="1:77" s="41" customFormat="1" ht="15.75">
      <c r="A602" s="64">
        <f>IF(F602&lt;&gt;"",1+MAX($A$2:A601),"")</f>
        <v>503</v>
      </c>
      <c r="B602" s="313"/>
      <c r="C602" s="226" t="s">
        <v>476</v>
      </c>
      <c r="D602" s="188">
        <v>11</v>
      </c>
      <c r="E602" s="189">
        <v>0</v>
      </c>
      <c r="F602" s="188">
        <f t="shared" si="319"/>
        <v>11</v>
      </c>
      <c r="G602" s="190" t="s">
        <v>14</v>
      </c>
      <c r="H602" s="191">
        <v>0</v>
      </c>
      <c r="I602" s="192">
        <f t="shared" si="320"/>
        <v>0</v>
      </c>
      <c r="J602" s="193">
        <v>0</v>
      </c>
      <c r="K602" s="194">
        <f t="shared" si="321"/>
        <v>0</v>
      </c>
      <c r="L602" s="195">
        <v>55</v>
      </c>
      <c r="M602" s="196">
        <f t="shared" si="322"/>
        <v>0</v>
      </c>
      <c r="N602" s="197">
        <f t="shared" si="323"/>
        <v>0</v>
      </c>
      <c r="O602" s="198"/>
      <c r="P602" s="18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</row>
    <row r="603" spans="1:77" s="41" customFormat="1" ht="15.75">
      <c r="A603" s="64">
        <f>IF(F603&lt;&gt;"",1+MAX($A$2:A602),"")</f>
        <v>504</v>
      </c>
      <c r="B603" s="313"/>
      <c r="C603" s="226" t="s">
        <v>477</v>
      </c>
      <c r="D603" s="188">
        <v>2</v>
      </c>
      <c r="E603" s="189">
        <v>0</v>
      </c>
      <c r="F603" s="188">
        <f t="shared" si="319"/>
        <v>2</v>
      </c>
      <c r="G603" s="190" t="s">
        <v>14</v>
      </c>
      <c r="H603" s="191">
        <v>0</v>
      </c>
      <c r="I603" s="192">
        <f t="shared" si="320"/>
        <v>0</v>
      </c>
      <c r="J603" s="193">
        <v>0</v>
      </c>
      <c r="K603" s="194">
        <f t="shared" si="321"/>
        <v>0</v>
      </c>
      <c r="L603" s="195">
        <v>55</v>
      </c>
      <c r="M603" s="196">
        <f t="shared" si="322"/>
        <v>0</v>
      </c>
      <c r="N603" s="197">
        <f t="shared" si="323"/>
        <v>0</v>
      </c>
      <c r="O603" s="198"/>
      <c r="P603" s="18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</row>
    <row r="604" spans="1:77" s="41" customFormat="1" ht="15.75">
      <c r="A604" s="64">
        <f>IF(F604&lt;&gt;"",1+MAX($A$2:A603),"")</f>
        <v>505</v>
      </c>
      <c r="B604" s="313"/>
      <c r="C604" s="226" t="s">
        <v>478</v>
      </c>
      <c r="D604" s="188">
        <v>2</v>
      </c>
      <c r="E604" s="189">
        <v>0</v>
      </c>
      <c r="F604" s="188">
        <f t="shared" si="319"/>
        <v>2</v>
      </c>
      <c r="G604" s="190" t="s">
        <v>14</v>
      </c>
      <c r="H604" s="191">
        <v>0</v>
      </c>
      <c r="I604" s="192">
        <f t="shared" si="320"/>
        <v>0</v>
      </c>
      <c r="J604" s="193">
        <v>0</v>
      </c>
      <c r="K604" s="194">
        <f t="shared" si="321"/>
        <v>0</v>
      </c>
      <c r="L604" s="195">
        <v>55</v>
      </c>
      <c r="M604" s="196">
        <f t="shared" si="322"/>
        <v>0</v>
      </c>
      <c r="N604" s="197">
        <f t="shared" si="323"/>
        <v>0</v>
      </c>
      <c r="O604" s="198"/>
      <c r="P604" s="18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</row>
    <row r="605" spans="1:77" s="41" customFormat="1" ht="15.75">
      <c r="A605" s="64">
        <f>IF(F605&lt;&gt;"",1+MAX($A$2:A604),"")</f>
        <v>506</v>
      </c>
      <c r="B605" s="313"/>
      <c r="C605" s="226" t="s">
        <v>479</v>
      </c>
      <c r="D605" s="188">
        <v>1</v>
      </c>
      <c r="E605" s="189">
        <v>0</v>
      </c>
      <c r="F605" s="188">
        <f t="shared" si="319"/>
        <v>1</v>
      </c>
      <c r="G605" s="190" t="s">
        <v>14</v>
      </c>
      <c r="H605" s="191">
        <v>0</v>
      </c>
      <c r="I605" s="192">
        <f t="shared" si="320"/>
        <v>0</v>
      </c>
      <c r="J605" s="193">
        <v>0</v>
      </c>
      <c r="K605" s="194">
        <f t="shared" si="321"/>
        <v>0</v>
      </c>
      <c r="L605" s="195">
        <v>55</v>
      </c>
      <c r="M605" s="196">
        <f t="shared" si="322"/>
        <v>0</v>
      </c>
      <c r="N605" s="197">
        <f t="shared" si="323"/>
        <v>0</v>
      </c>
      <c r="O605" s="198"/>
      <c r="P605" s="18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</row>
    <row r="606" spans="1:77" s="41" customFormat="1" ht="15.75">
      <c r="A606" s="64">
        <f>IF(F606&lt;&gt;"",1+MAX($A$2:A605),"")</f>
        <v>507</v>
      </c>
      <c r="B606" s="313"/>
      <c r="C606" s="226" t="s">
        <v>480</v>
      </c>
      <c r="D606" s="188">
        <v>2</v>
      </c>
      <c r="E606" s="189">
        <v>0</v>
      </c>
      <c r="F606" s="188">
        <f t="shared" si="319"/>
        <v>2</v>
      </c>
      <c r="G606" s="190" t="s">
        <v>14</v>
      </c>
      <c r="H606" s="191">
        <v>0</v>
      </c>
      <c r="I606" s="192">
        <f t="shared" si="320"/>
        <v>0</v>
      </c>
      <c r="J606" s="193">
        <v>0</v>
      </c>
      <c r="K606" s="194">
        <f t="shared" si="321"/>
        <v>0</v>
      </c>
      <c r="L606" s="195">
        <v>55</v>
      </c>
      <c r="M606" s="196">
        <f t="shared" si="322"/>
        <v>0</v>
      </c>
      <c r="N606" s="197">
        <f t="shared" si="323"/>
        <v>0</v>
      </c>
      <c r="O606" s="198"/>
      <c r="P606" s="18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</row>
    <row r="607" spans="1:77" s="41" customFormat="1" ht="15.75">
      <c r="A607" s="64">
        <f>IF(F607&lt;&gt;"",1+MAX($A$2:A606),"")</f>
        <v>508</v>
      </c>
      <c r="B607" s="313"/>
      <c r="C607" s="226" t="s">
        <v>481</v>
      </c>
      <c r="D607" s="188">
        <v>3</v>
      </c>
      <c r="E607" s="189">
        <v>0</v>
      </c>
      <c r="F607" s="188">
        <f t="shared" si="319"/>
        <v>3</v>
      </c>
      <c r="G607" s="190" t="s">
        <v>14</v>
      </c>
      <c r="H607" s="191">
        <v>0</v>
      </c>
      <c r="I607" s="192">
        <f t="shared" si="320"/>
        <v>0</v>
      </c>
      <c r="J607" s="193">
        <v>0</v>
      </c>
      <c r="K607" s="194">
        <f t="shared" si="321"/>
        <v>0</v>
      </c>
      <c r="L607" s="195">
        <v>55</v>
      </c>
      <c r="M607" s="196">
        <f t="shared" si="322"/>
        <v>0</v>
      </c>
      <c r="N607" s="197">
        <f t="shared" si="323"/>
        <v>0</v>
      </c>
      <c r="O607" s="198"/>
      <c r="P607" s="18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</row>
    <row r="608" spans="1:77" s="41" customFormat="1" ht="15.75">
      <c r="A608" s="64">
        <f>IF(F608&lt;&gt;"",1+MAX($A$2:A607),"")</f>
        <v>509</v>
      </c>
      <c r="B608" s="313"/>
      <c r="C608" s="226" t="s">
        <v>482</v>
      </c>
      <c r="D608" s="188">
        <v>9</v>
      </c>
      <c r="E608" s="189">
        <v>0</v>
      </c>
      <c r="F608" s="188">
        <f t="shared" si="319"/>
        <v>9</v>
      </c>
      <c r="G608" s="190" t="s">
        <v>14</v>
      </c>
      <c r="H608" s="191">
        <v>0</v>
      </c>
      <c r="I608" s="192">
        <f t="shared" si="320"/>
        <v>0</v>
      </c>
      <c r="J608" s="193">
        <v>0</v>
      </c>
      <c r="K608" s="194">
        <f t="shared" si="321"/>
        <v>0</v>
      </c>
      <c r="L608" s="195">
        <v>55</v>
      </c>
      <c r="M608" s="196">
        <f t="shared" si="322"/>
        <v>0</v>
      </c>
      <c r="N608" s="197">
        <f t="shared" si="323"/>
        <v>0</v>
      </c>
      <c r="O608" s="198"/>
      <c r="P608" s="18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</row>
    <row r="609" spans="1:77" s="41" customFormat="1" ht="15.75">
      <c r="A609" s="64">
        <f>IF(F609&lt;&gt;"",1+MAX($A$2:A608),"")</f>
        <v>510</v>
      </c>
      <c r="B609" s="313"/>
      <c r="C609" s="226" t="s">
        <v>483</v>
      </c>
      <c r="D609" s="188">
        <v>1</v>
      </c>
      <c r="E609" s="189">
        <v>0</v>
      </c>
      <c r="F609" s="188">
        <f t="shared" si="319"/>
        <v>1</v>
      </c>
      <c r="G609" s="190" t="s">
        <v>14</v>
      </c>
      <c r="H609" s="191">
        <v>0</v>
      </c>
      <c r="I609" s="192">
        <f t="shared" si="320"/>
        <v>0</v>
      </c>
      <c r="J609" s="193">
        <v>0</v>
      </c>
      <c r="K609" s="194">
        <f t="shared" si="321"/>
        <v>0</v>
      </c>
      <c r="L609" s="195">
        <v>55</v>
      </c>
      <c r="M609" s="196">
        <f t="shared" si="322"/>
        <v>0</v>
      </c>
      <c r="N609" s="197">
        <f t="shared" si="323"/>
        <v>0</v>
      </c>
      <c r="O609" s="198"/>
      <c r="P609" s="18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</row>
    <row r="610" spans="1:77" s="41" customFormat="1" ht="15.75">
      <c r="A610" s="64">
        <f>IF(F610&lt;&gt;"",1+MAX($A$2:A609),"")</f>
        <v>511</v>
      </c>
      <c r="B610" s="313"/>
      <c r="C610" s="226" t="s">
        <v>484</v>
      </c>
      <c r="D610" s="188">
        <v>1</v>
      </c>
      <c r="E610" s="189">
        <v>0</v>
      </c>
      <c r="F610" s="188">
        <f t="shared" si="319"/>
        <v>1</v>
      </c>
      <c r="G610" s="190" t="s">
        <v>14</v>
      </c>
      <c r="H610" s="191">
        <v>0</v>
      </c>
      <c r="I610" s="192">
        <f t="shared" si="320"/>
        <v>0</v>
      </c>
      <c r="J610" s="193">
        <v>0</v>
      </c>
      <c r="K610" s="194">
        <f t="shared" si="321"/>
        <v>0</v>
      </c>
      <c r="L610" s="195">
        <v>55</v>
      </c>
      <c r="M610" s="196">
        <f t="shared" si="322"/>
        <v>0</v>
      </c>
      <c r="N610" s="197">
        <f t="shared" si="323"/>
        <v>0</v>
      </c>
      <c r="O610" s="198"/>
      <c r="P610" s="18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</row>
    <row r="611" spans="1:77" s="41" customFormat="1" ht="15.75">
      <c r="A611" s="64">
        <f>IF(F611&lt;&gt;"",1+MAX($A$2:A610),"")</f>
        <v>512</v>
      </c>
      <c r="B611" s="313"/>
      <c r="C611" s="226" t="s">
        <v>485</v>
      </c>
      <c r="D611" s="188">
        <v>1</v>
      </c>
      <c r="E611" s="189">
        <v>0</v>
      </c>
      <c r="F611" s="188">
        <f t="shared" si="319"/>
        <v>1</v>
      </c>
      <c r="G611" s="190" t="s">
        <v>14</v>
      </c>
      <c r="H611" s="191">
        <v>0</v>
      </c>
      <c r="I611" s="192">
        <f t="shared" si="320"/>
        <v>0</v>
      </c>
      <c r="J611" s="193">
        <v>0</v>
      </c>
      <c r="K611" s="194">
        <f t="shared" si="321"/>
        <v>0</v>
      </c>
      <c r="L611" s="195">
        <v>55</v>
      </c>
      <c r="M611" s="196">
        <f t="shared" si="322"/>
        <v>0</v>
      </c>
      <c r="N611" s="197">
        <f t="shared" si="323"/>
        <v>0</v>
      </c>
      <c r="O611" s="198"/>
      <c r="P611" s="18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</row>
    <row r="612" spans="1:77" s="41" customFormat="1" ht="15.75">
      <c r="A612" s="64">
        <f>IF(F612&lt;&gt;"",1+MAX($A$2:A611),"")</f>
        <v>513</v>
      </c>
      <c r="B612" s="313"/>
      <c r="C612" s="226" t="s">
        <v>486</v>
      </c>
      <c r="D612" s="188">
        <v>2</v>
      </c>
      <c r="E612" s="189">
        <v>0</v>
      </c>
      <c r="F612" s="188">
        <f t="shared" si="319"/>
        <v>2</v>
      </c>
      <c r="G612" s="190" t="s">
        <v>14</v>
      </c>
      <c r="H612" s="191">
        <v>0</v>
      </c>
      <c r="I612" s="192">
        <f t="shared" si="320"/>
        <v>0</v>
      </c>
      <c r="J612" s="193">
        <v>0</v>
      </c>
      <c r="K612" s="194">
        <f t="shared" si="321"/>
        <v>0</v>
      </c>
      <c r="L612" s="195">
        <v>55</v>
      </c>
      <c r="M612" s="196">
        <f t="shared" si="322"/>
        <v>0</v>
      </c>
      <c r="N612" s="197">
        <f t="shared" si="323"/>
        <v>0</v>
      </c>
      <c r="O612" s="198"/>
      <c r="P612" s="18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</row>
    <row r="613" spans="1:77" s="41" customFormat="1" ht="15.75">
      <c r="A613" s="64">
        <f>IF(F613&lt;&gt;"",1+MAX($A$2:A612),"")</f>
        <v>514</v>
      </c>
      <c r="B613" s="313"/>
      <c r="C613" s="226" t="s">
        <v>487</v>
      </c>
      <c r="D613" s="188">
        <v>4</v>
      </c>
      <c r="E613" s="189">
        <v>0</v>
      </c>
      <c r="F613" s="188">
        <f t="shared" si="319"/>
        <v>4</v>
      </c>
      <c r="G613" s="190" t="s">
        <v>14</v>
      </c>
      <c r="H613" s="191">
        <v>0</v>
      </c>
      <c r="I613" s="192">
        <f t="shared" si="320"/>
        <v>0</v>
      </c>
      <c r="J613" s="193">
        <v>0</v>
      </c>
      <c r="K613" s="194">
        <f t="shared" si="321"/>
        <v>0</v>
      </c>
      <c r="L613" s="195">
        <v>55</v>
      </c>
      <c r="M613" s="196">
        <f t="shared" si="322"/>
        <v>0</v>
      </c>
      <c r="N613" s="197">
        <f t="shared" si="323"/>
        <v>0</v>
      </c>
      <c r="O613" s="198"/>
      <c r="P613" s="18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</row>
    <row r="614" spans="1:77" s="41" customFormat="1" ht="15.75">
      <c r="A614" s="64">
        <f>IF(F614&lt;&gt;"",1+MAX($A$2:A613),"")</f>
        <v>515</v>
      </c>
      <c r="B614" s="313"/>
      <c r="C614" s="226" t="s">
        <v>488</v>
      </c>
      <c r="D614" s="188">
        <v>5</v>
      </c>
      <c r="E614" s="189">
        <v>0</v>
      </c>
      <c r="F614" s="188">
        <f t="shared" si="319"/>
        <v>5</v>
      </c>
      <c r="G614" s="190" t="s">
        <v>14</v>
      </c>
      <c r="H614" s="191">
        <v>0</v>
      </c>
      <c r="I614" s="192">
        <f t="shared" si="320"/>
        <v>0</v>
      </c>
      <c r="J614" s="193">
        <v>0</v>
      </c>
      <c r="K614" s="194">
        <f t="shared" si="321"/>
        <v>0</v>
      </c>
      <c r="L614" s="195">
        <v>55</v>
      </c>
      <c r="M614" s="196">
        <f t="shared" si="322"/>
        <v>0</v>
      </c>
      <c r="N614" s="197">
        <f t="shared" si="323"/>
        <v>0</v>
      </c>
      <c r="O614" s="198"/>
      <c r="P614" s="18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</row>
    <row r="615" spans="1:77" s="41" customFormat="1" ht="15.75">
      <c r="A615" s="64">
        <f>IF(F615&lt;&gt;"",1+MAX($A$2:A614),"")</f>
        <v>516</v>
      </c>
      <c r="B615" s="313"/>
      <c r="C615" s="226" t="s">
        <v>489</v>
      </c>
      <c r="D615" s="188">
        <v>1</v>
      </c>
      <c r="E615" s="189">
        <v>0</v>
      </c>
      <c r="F615" s="188">
        <f t="shared" si="319"/>
        <v>1</v>
      </c>
      <c r="G615" s="190" t="s">
        <v>14</v>
      </c>
      <c r="H615" s="191">
        <v>0</v>
      </c>
      <c r="I615" s="192">
        <f t="shared" si="320"/>
        <v>0</v>
      </c>
      <c r="J615" s="193">
        <v>0</v>
      </c>
      <c r="K615" s="194">
        <f t="shared" si="321"/>
        <v>0</v>
      </c>
      <c r="L615" s="195">
        <v>55</v>
      </c>
      <c r="M615" s="196">
        <f t="shared" si="322"/>
        <v>0</v>
      </c>
      <c r="N615" s="197">
        <f t="shared" si="323"/>
        <v>0</v>
      </c>
      <c r="O615" s="198"/>
      <c r="P615" s="18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</row>
    <row r="616" spans="1:77" s="41" customFormat="1" ht="15.75">
      <c r="A616" s="64">
        <f>IF(F616&lt;&gt;"",1+MAX($A$2:A615),"")</f>
        <v>517</v>
      </c>
      <c r="B616" s="313"/>
      <c r="C616" s="226" t="s">
        <v>490</v>
      </c>
      <c r="D616" s="188">
        <v>1</v>
      </c>
      <c r="E616" s="189">
        <v>0</v>
      </c>
      <c r="F616" s="188">
        <f t="shared" si="319"/>
        <v>1</v>
      </c>
      <c r="G616" s="190" t="s">
        <v>14</v>
      </c>
      <c r="H616" s="191">
        <v>0</v>
      </c>
      <c r="I616" s="192">
        <f t="shared" si="320"/>
        <v>0</v>
      </c>
      <c r="J616" s="193">
        <v>0</v>
      </c>
      <c r="K616" s="194">
        <f t="shared" si="321"/>
        <v>0</v>
      </c>
      <c r="L616" s="195">
        <v>55</v>
      </c>
      <c r="M616" s="196">
        <f t="shared" si="322"/>
        <v>0</v>
      </c>
      <c r="N616" s="197">
        <f t="shared" si="323"/>
        <v>0</v>
      </c>
      <c r="O616" s="198"/>
      <c r="P616" s="18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</row>
    <row r="617" spans="1:77" s="41" customFormat="1" ht="15.75">
      <c r="A617" s="64">
        <f>IF(F617&lt;&gt;"",1+MAX($A$2:A616),"")</f>
        <v>518</v>
      </c>
      <c r="B617" s="313"/>
      <c r="C617" s="226" t="s">
        <v>491</v>
      </c>
      <c r="D617" s="188">
        <v>1</v>
      </c>
      <c r="E617" s="189">
        <v>0</v>
      </c>
      <c r="F617" s="188">
        <f t="shared" si="319"/>
        <v>1</v>
      </c>
      <c r="G617" s="190" t="s">
        <v>14</v>
      </c>
      <c r="H617" s="191">
        <v>0</v>
      </c>
      <c r="I617" s="192">
        <f t="shared" si="320"/>
        <v>0</v>
      </c>
      <c r="J617" s="193">
        <v>0</v>
      </c>
      <c r="K617" s="194">
        <f t="shared" si="321"/>
        <v>0</v>
      </c>
      <c r="L617" s="195">
        <v>55</v>
      </c>
      <c r="M617" s="196">
        <f t="shared" si="322"/>
        <v>0</v>
      </c>
      <c r="N617" s="197">
        <f t="shared" si="323"/>
        <v>0</v>
      </c>
      <c r="O617" s="198"/>
      <c r="P617" s="18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</row>
    <row r="618" spans="1:77" s="41" customFormat="1" ht="15.75">
      <c r="A618" s="64">
        <f>IF(F618&lt;&gt;"",1+MAX($A$2:A617),"")</f>
        <v>519</v>
      </c>
      <c r="B618" s="313"/>
      <c r="C618" s="226" t="s">
        <v>492</v>
      </c>
      <c r="D618" s="188">
        <v>1</v>
      </c>
      <c r="E618" s="189">
        <v>0</v>
      </c>
      <c r="F618" s="188">
        <f t="shared" si="319"/>
        <v>1</v>
      </c>
      <c r="G618" s="190" t="s">
        <v>14</v>
      </c>
      <c r="H618" s="191">
        <v>0</v>
      </c>
      <c r="I618" s="192">
        <f t="shared" si="320"/>
        <v>0</v>
      </c>
      <c r="J618" s="193">
        <v>0</v>
      </c>
      <c r="K618" s="194">
        <f t="shared" si="321"/>
        <v>0</v>
      </c>
      <c r="L618" s="195">
        <v>55</v>
      </c>
      <c r="M618" s="196">
        <f t="shared" si="322"/>
        <v>0</v>
      </c>
      <c r="N618" s="197">
        <f t="shared" si="323"/>
        <v>0</v>
      </c>
      <c r="O618" s="198"/>
      <c r="P618" s="18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</row>
    <row r="619" spans="1:77" s="41" customFormat="1" ht="15.75">
      <c r="A619" s="64">
        <f>IF(F619&lt;&gt;"",1+MAX($A$2:A618),"")</f>
        <v>520</v>
      </c>
      <c r="B619" s="313"/>
      <c r="C619" s="226" t="s">
        <v>493</v>
      </c>
      <c r="D619" s="188">
        <v>1</v>
      </c>
      <c r="E619" s="189">
        <v>0</v>
      </c>
      <c r="F619" s="188">
        <f t="shared" si="319"/>
        <v>1</v>
      </c>
      <c r="G619" s="190" t="s">
        <v>14</v>
      </c>
      <c r="H619" s="191">
        <v>0</v>
      </c>
      <c r="I619" s="192">
        <f t="shared" si="320"/>
        <v>0</v>
      </c>
      <c r="J619" s="193">
        <v>0</v>
      </c>
      <c r="K619" s="194">
        <f t="shared" si="321"/>
        <v>0</v>
      </c>
      <c r="L619" s="195">
        <v>55</v>
      </c>
      <c r="M619" s="196">
        <f t="shared" si="322"/>
        <v>0</v>
      </c>
      <c r="N619" s="197">
        <f t="shared" si="323"/>
        <v>0</v>
      </c>
      <c r="O619" s="198"/>
      <c r="P619" s="18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</row>
    <row r="620" spans="1:77" s="41" customFormat="1" ht="15.75">
      <c r="A620" s="64">
        <f>IF(F620&lt;&gt;"",1+MAX($A$2:A619),"")</f>
        <v>521</v>
      </c>
      <c r="B620" s="313"/>
      <c r="C620" s="226" t="s">
        <v>494</v>
      </c>
      <c r="D620" s="188">
        <v>1</v>
      </c>
      <c r="E620" s="189">
        <v>0</v>
      </c>
      <c r="F620" s="188">
        <f t="shared" si="319"/>
        <v>1</v>
      </c>
      <c r="G620" s="190" t="s">
        <v>14</v>
      </c>
      <c r="H620" s="191">
        <v>0</v>
      </c>
      <c r="I620" s="192">
        <f t="shared" si="320"/>
        <v>0</v>
      </c>
      <c r="J620" s="193">
        <v>0</v>
      </c>
      <c r="K620" s="194">
        <f t="shared" si="321"/>
        <v>0</v>
      </c>
      <c r="L620" s="195">
        <v>55</v>
      </c>
      <c r="M620" s="196">
        <f t="shared" si="322"/>
        <v>0</v>
      </c>
      <c r="N620" s="197">
        <f t="shared" si="323"/>
        <v>0</v>
      </c>
      <c r="O620" s="198"/>
      <c r="P620" s="18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</row>
    <row r="621" spans="1:77" s="41" customFormat="1" ht="47.25">
      <c r="A621" s="64">
        <f>IF(F621&lt;&gt;"",1+MAX($A$2:A620),"")</f>
        <v>522</v>
      </c>
      <c r="B621" s="313"/>
      <c r="C621" s="226" t="s">
        <v>495</v>
      </c>
      <c r="D621" s="188">
        <v>2</v>
      </c>
      <c r="E621" s="189">
        <v>0</v>
      </c>
      <c r="F621" s="188">
        <f t="shared" si="319"/>
        <v>2</v>
      </c>
      <c r="G621" s="190" t="s">
        <v>14</v>
      </c>
      <c r="H621" s="191">
        <v>0</v>
      </c>
      <c r="I621" s="192">
        <f t="shared" si="320"/>
        <v>0</v>
      </c>
      <c r="J621" s="193">
        <v>0</v>
      </c>
      <c r="K621" s="194">
        <f t="shared" si="321"/>
        <v>0</v>
      </c>
      <c r="L621" s="195">
        <v>55</v>
      </c>
      <c r="M621" s="196">
        <f t="shared" si="322"/>
        <v>0</v>
      </c>
      <c r="N621" s="197">
        <f t="shared" si="323"/>
        <v>0</v>
      </c>
      <c r="O621" s="198"/>
      <c r="P621" s="18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</row>
    <row r="622" spans="1:77" s="41" customFormat="1" ht="15.75">
      <c r="A622" s="64">
        <f>IF(F622&lt;&gt;"",1+MAX($A$2:A621),"")</f>
        <v>523</v>
      </c>
      <c r="B622" s="313"/>
      <c r="C622" s="226" t="s">
        <v>496</v>
      </c>
      <c r="D622" s="188">
        <v>1</v>
      </c>
      <c r="E622" s="189">
        <v>0</v>
      </c>
      <c r="F622" s="188">
        <f t="shared" si="319"/>
        <v>1</v>
      </c>
      <c r="G622" s="190" t="s">
        <v>14</v>
      </c>
      <c r="H622" s="191">
        <v>0</v>
      </c>
      <c r="I622" s="192">
        <f t="shared" si="320"/>
        <v>0</v>
      </c>
      <c r="J622" s="193">
        <v>0</v>
      </c>
      <c r="K622" s="194">
        <f t="shared" si="321"/>
        <v>0</v>
      </c>
      <c r="L622" s="195">
        <v>55</v>
      </c>
      <c r="M622" s="196">
        <f t="shared" si="322"/>
        <v>0</v>
      </c>
      <c r="N622" s="197">
        <f t="shared" si="323"/>
        <v>0</v>
      </c>
      <c r="O622" s="198"/>
      <c r="P622" s="18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</row>
    <row r="623" spans="1:77" s="41" customFormat="1" ht="15.75">
      <c r="A623" s="64">
        <f>IF(F623&lt;&gt;"",1+MAX($A$2:A622),"")</f>
        <v>524</v>
      </c>
      <c r="B623" s="313"/>
      <c r="C623" s="226" t="s">
        <v>497</v>
      </c>
      <c r="D623" s="188">
        <v>1</v>
      </c>
      <c r="E623" s="189">
        <v>0</v>
      </c>
      <c r="F623" s="188">
        <f t="shared" si="319"/>
        <v>1</v>
      </c>
      <c r="G623" s="190" t="s">
        <v>14</v>
      </c>
      <c r="H623" s="191">
        <v>0</v>
      </c>
      <c r="I623" s="192">
        <f t="shared" si="320"/>
        <v>0</v>
      </c>
      <c r="J623" s="193">
        <v>0</v>
      </c>
      <c r="K623" s="194">
        <f t="shared" si="321"/>
        <v>0</v>
      </c>
      <c r="L623" s="195">
        <v>55</v>
      </c>
      <c r="M623" s="196">
        <f t="shared" si="322"/>
        <v>0</v>
      </c>
      <c r="N623" s="197">
        <f t="shared" si="323"/>
        <v>0</v>
      </c>
      <c r="O623" s="198"/>
      <c r="P623" s="18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</row>
    <row r="624" spans="1:77" s="41" customFormat="1" ht="15.75">
      <c r="A624" s="64" t="str">
        <f>IF(F624&lt;&gt;"",1+MAX($A$2:A623),"")</f>
        <v/>
      </c>
      <c r="B624" s="313"/>
      <c r="C624" s="252" t="s">
        <v>498</v>
      </c>
      <c r="D624" s="188"/>
      <c r="E624" s="189"/>
      <c r="F624" s="188"/>
      <c r="G624" s="190"/>
      <c r="H624" s="191"/>
      <c r="I624" s="192"/>
      <c r="J624" s="192"/>
      <c r="K624" s="192"/>
      <c r="L624" s="195"/>
      <c r="M624" s="229"/>
      <c r="N624" s="197"/>
      <c r="O624" s="198"/>
      <c r="P624" s="18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</row>
    <row r="625" spans="1:77" s="41" customFormat="1" ht="15.75">
      <c r="A625" s="64">
        <f>IF(F625&lt;&gt;"",1+MAX($A$2:A624),"")</f>
        <v>525</v>
      </c>
      <c r="B625" s="313"/>
      <c r="C625" s="226" t="s">
        <v>499</v>
      </c>
      <c r="D625" s="188">
        <v>1</v>
      </c>
      <c r="E625" s="189">
        <v>0</v>
      </c>
      <c r="F625" s="188">
        <f t="shared" ref="F625:F634" si="324">(1+E625)*D625</f>
        <v>1</v>
      </c>
      <c r="G625" s="190" t="s">
        <v>14</v>
      </c>
      <c r="H625" s="191">
        <v>0</v>
      </c>
      <c r="I625" s="192">
        <f t="shared" ref="I625:I634" si="325">H625*F625</f>
        <v>0</v>
      </c>
      <c r="J625" s="193">
        <v>0</v>
      </c>
      <c r="K625" s="194">
        <f t="shared" ref="K625:K634" si="326">J625*F625</f>
        <v>0</v>
      </c>
      <c r="L625" s="195">
        <v>55</v>
      </c>
      <c r="M625" s="196">
        <f t="shared" ref="M625:M634" si="327">L625*K625</f>
        <v>0</v>
      </c>
      <c r="N625" s="197">
        <f t="shared" ref="N625:N634" si="328">M625+I625</f>
        <v>0</v>
      </c>
      <c r="O625" s="198"/>
      <c r="P625" s="18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</row>
    <row r="626" spans="1:77" s="41" customFormat="1" ht="31.5">
      <c r="A626" s="64">
        <f>IF(F626&lt;&gt;"",1+MAX($A$2:A625),"")</f>
        <v>526</v>
      </c>
      <c r="B626" s="313"/>
      <c r="C626" s="226" t="s">
        <v>500</v>
      </c>
      <c r="D626" s="188">
        <v>3</v>
      </c>
      <c r="E626" s="189">
        <v>0</v>
      </c>
      <c r="F626" s="188">
        <f t="shared" si="324"/>
        <v>3</v>
      </c>
      <c r="G626" s="190" t="s">
        <v>14</v>
      </c>
      <c r="H626" s="191">
        <v>0</v>
      </c>
      <c r="I626" s="192">
        <f t="shared" si="325"/>
        <v>0</v>
      </c>
      <c r="J626" s="193">
        <v>0</v>
      </c>
      <c r="K626" s="194">
        <f t="shared" si="326"/>
        <v>0</v>
      </c>
      <c r="L626" s="195">
        <v>55</v>
      </c>
      <c r="M626" s="196">
        <f t="shared" si="327"/>
        <v>0</v>
      </c>
      <c r="N626" s="197">
        <f t="shared" si="328"/>
        <v>0</v>
      </c>
      <c r="O626" s="198"/>
      <c r="P626" s="18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</row>
    <row r="627" spans="1:77" s="41" customFormat="1" ht="15.75">
      <c r="A627" s="64">
        <f>IF(F627&lt;&gt;"",1+MAX($A$2:A626),"")</f>
        <v>527</v>
      </c>
      <c r="B627" s="313"/>
      <c r="C627" s="226" t="s">
        <v>501</v>
      </c>
      <c r="D627" s="188">
        <v>3</v>
      </c>
      <c r="E627" s="189">
        <v>0</v>
      </c>
      <c r="F627" s="188">
        <f t="shared" si="324"/>
        <v>3</v>
      </c>
      <c r="G627" s="190" t="s">
        <v>14</v>
      </c>
      <c r="H627" s="191">
        <v>0</v>
      </c>
      <c r="I627" s="192">
        <f t="shared" si="325"/>
        <v>0</v>
      </c>
      <c r="J627" s="193">
        <v>0</v>
      </c>
      <c r="K627" s="194">
        <f t="shared" si="326"/>
        <v>0</v>
      </c>
      <c r="L627" s="195">
        <v>55</v>
      </c>
      <c r="M627" s="196">
        <f t="shared" si="327"/>
        <v>0</v>
      </c>
      <c r="N627" s="197">
        <f t="shared" si="328"/>
        <v>0</v>
      </c>
      <c r="O627" s="198"/>
      <c r="P627" s="18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</row>
    <row r="628" spans="1:77" s="41" customFormat="1" ht="31.5">
      <c r="A628" s="64">
        <f>IF(F628&lt;&gt;"",1+MAX($A$2:A627),"")</f>
        <v>528</v>
      </c>
      <c r="B628" s="313"/>
      <c r="C628" s="226" t="s">
        <v>502</v>
      </c>
      <c r="D628" s="188">
        <v>2</v>
      </c>
      <c r="E628" s="189">
        <v>0</v>
      </c>
      <c r="F628" s="188">
        <f t="shared" si="324"/>
        <v>2</v>
      </c>
      <c r="G628" s="190" t="s">
        <v>14</v>
      </c>
      <c r="H628" s="191">
        <v>0</v>
      </c>
      <c r="I628" s="192">
        <f t="shared" si="325"/>
        <v>0</v>
      </c>
      <c r="J628" s="193">
        <v>0</v>
      </c>
      <c r="K628" s="194">
        <f t="shared" si="326"/>
        <v>0</v>
      </c>
      <c r="L628" s="195">
        <v>55</v>
      </c>
      <c r="M628" s="196">
        <f t="shared" si="327"/>
        <v>0</v>
      </c>
      <c r="N628" s="197">
        <f t="shared" si="328"/>
        <v>0</v>
      </c>
      <c r="O628" s="198"/>
      <c r="P628" s="18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</row>
    <row r="629" spans="1:77" s="41" customFormat="1" ht="31.5">
      <c r="A629" s="64">
        <f>IF(F629&lt;&gt;"",1+MAX($A$2:A628),"")</f>
        <v>529</v>
      </c>
      <c r="B629" s="313"/>
      <c r="C629" s="226" t="s">
        <v>503</v>
      </c>
      <c r="D629" s="188">
        <v>3</v>
      </c>
      <c r="E629" s="189">
        <v>0</v>
      </c>
      <c r="F629" s="188">
        <f t="shared" si="324"/>
        <v>3</v>
      </c>
      <c r="G629" s="190" t="s">
        <v>14</v>
      </c>
      <c r="H629" s="191">
        <v>0</v>
      </c>
      <c r="I629" s="192">
        <f t="shared" si="325"/>
        <v>0</v>
      </c>
      <c r="J629" s="193">
        <v>0</v>
      </c>
      <c r="K629" s="194">
        <f t="shared" si="326"/>
        <v>0</v>
      </c>
      <c r="L629" s="195">
        <v>55</v>
      </c>
      <c r="M629" s="196">
        <f t="shared" si="327"/>
        <v>0</v>
      </c>
      <c r="N629" s="197">
        <f t="shared" si="328"/>
        <v>0</v>
      </c>
      <c r="O629" s="198"/>
      <c r="P629" s="18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</row>
    <row r="630" spans="1:77" s="41" customFormat="1" ht="15.75">
      <c r="A630" s="64">
        <f>IF(F630&lt;&gt;"",1+MAX($A$2:A629),"")</f>
        <v>530</v>
      </c>
      <c r="B630" s="313"/>
      <c r="C630" s="226" t="s">
        <v>504</v>
      </c>
      <c r="D630" s="188">
        <v>1</v>
      </c>
      <c r="E630" s="189">
        <v>0</v>
      </c>
      <c r="F630" s="188">
        <f t="shared" si="324"/>
        <v>1</v>
      </c>
      <c r="G630" s="190" t="s">
        <v>14</v>
      </c>
      <c r="H630" s="191">
        <v>0</v>
      </c>
      <c r="I630" s="192">
        <f t="shared" si="325"/>
        <v>0</v>
      </c>
      <c r="J630" s="193">
        <v>0</v>
      </c>
      <c r="K630" s="194">
        <f t="shared" si="326"/>
        <v>0</v>
      </c>
      <c r="L630" s="195">
        <v>55</v>
      </c>
      <c r="M630" s="196">
        <f t="shared" si="327"/>
        <v>0</v>
      </c>
      <c r="N630" s="197">
        <f t="shared" si="328"/>
        <v>0</v>
      </c>
      <c r="O630" s="198"/>
      <c r="P630" s="18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</row>
    <row r="631" spans="1:77" s="41" customFormat="1" ht="15.75">
      <c r="A631" s="64">
        <f>IF(F631&lt;&gt;"",1+MAX($A$2:A630),"")</f>
        <v>531</v>
      </c>
      <c r="B631" s="313"/>
      <c r="C631" s="226" t="s">
        <v>505</v>
      </c>
      <c r="D631" s="188">
        <v>2</v>
      </c>
      <c r="E631" s="189">
        <v>0</v>
      </c>
      <c r="F631" s="188">
        <f t="shared" si="324"/>
        <v>2</v>
      </c>
      <c r="G631" s="190" t="s">
        <v>14</v>
      </c>
      <c r="H631" s="191">
        <v>0</v>
      </c>
      <c r="I631" s="192">
        <f t="shared" si="325"/>
        <v>0</v>
      </c>
      <c r="J631" s="193">
        <v>0</v>
      </c>
      <c r="K631" s="194">
        <f t="shared" si="326"/>
        <v>0</v>
      </c>
      <c r="L631" s="195">
        <v>55</v>
      </c>
      <c r="M631" s="196">
        <f t="shared" si="327"/>
        <v>0</v>
      </c>
      <c r="N631" s="197">
        <f t="shared" si="328"/>
        <v>0</v>
      </c>
      <c r="O631" s="198"/>
      <c r="P631" s="18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</row>
    <row r="632" spans="1:77" s="41" customFormat="1" ht="15.75">
      <c r="A632" s="64">
        <f>IF(F632&lt;&gt;"",1+MAX($A$2:A631),"")</f>
        <v>532</v>
      </c>
      <c r="B632" s="313"/>
      <c r="C632" s="226" t="s">
        <v>506</v>
      </c>
      <c r="D632" s="188">
        <v>4</v>
      </c>
      <c r="E632" s="189">
        <v>0</v>
      </c>
      <c r="F632" s="188">
        <f t="shared" si="324"/>
        <v>4</v>
      </c>
      <c r="G632" s="190" t="s">
        <v>14</v>
      </c>
      <c r="H632" s="191">
        <v>0</v>
      </c>
      <c r="I632" s="192">
        <f t="shared" si="325"/>
        <v>0</v>
      </c>
      <c r="J632" s="193">
        <v>0</v>
      </c>
      <c r="K632" s="194">
        <f t="shared" si="326"/>
        <v>0</v>
      </c>
      <c r="L632" s="195">
        <v>55</v>
      </c>
      <c r="M632" s="196">
        <f t="shared" si="327"/>
        <v>0</v>
      </c>
      <c r="N632" s="197">
        <f t="shared" si="328"/>
        <v>0</v>
      </c>
      <c r="O632" s="198"/>
      <c r="P632" s="18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</row>
    <row r="633" spans="1:77" s="41" customFormat="1" ht="15.75">
      <c r="A633" s="64">
        <f>IF(F633&lt;&gt;"",1+MAX($A$2:A632),"")</f>
        <v>533</v>
      </c>
      <c r="B633" s="313"/>
      <c r="C633" s="226" t="s">
        <v>507</v>
      </c>
      <c r="D633" s="188">
        <v>1</v>
      </c>
      <c r="E633" s="189">
        <v>0</v>
      </c>
      <c r="F633" s="188">
        <f t="shared" si="324"/>
        <v>1</v>
      </c>
      <c r="G633" s="190" t="s">
        <v>14</v>
      </c>
      <c r="H633" s="191">
        <v>0</v>
      </c>
      <c r="I633" s="192">
        <f t="shared" si="325"/>
        <v>0</v>
      </c>
      <c r="J633" s="193">
        <v>0</v>
      </c>
      <c r="K633" s="194">
        <f t="shared" si="326"/>
        <v>0</v>
      </c>
      <c r="L633" s="195">
        <v>55</v>
      </c>
      <c r="M633" s="196">
        <f t="shared" si="327"/>
        <v>0</v>
      </c>
      <c r="N633" s="197">
        <f t="shared" si="328"/>
        <v>0</v>
      </c>
      <c r="O633" s="198"/>
      <c r="P633" s="18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</row>
    <row r="634" spans="1:77" s="41" customFormat="1" ht="15.75">
      <c r="A634" s="64">
        <f>IF(F634&lt;&gt;"",1+MAX($A$2:A633),"")</f>
        <v>534</v>
      </c>
      <c r="B634" s="314"/>
      <c r="C634" s="226" t="s">
        <v>508</v>
      </c>
      <c r="D634" s="188">
        <v>1</v>
      </c>
      <c r="E634" s="189">
        <v>0</v>
      </c>
      <c r="F634" s="188">
        <f t="shared" si="324"/>
        <v>1</v>
      </c>
      <c r="G634" s="190" t="s">
        <v>14</v>
      </c>
      <c r="H634" s="191">
        <v>0</v>
      </c>
      <c r="I634" s="192">
        <f t="shared" si="325"/>
        <v>0</v>
      </c>
      <c r="J634" s="193">
        <v>0</v>
      </c>
      <c r="K634" s="194">
        <f t="shared" si="326"/>
        <v>0</v>
      </c>
      <c r="L634" s="195">
        <v>55</v>
      </c>
      <c r="M634" s="196">
        <f t="shared" si="327"/>
        <v>0</v>
      </c>
      <c r="N634" s="197">
        <f t="shared" si="328"/>
        <v>0</v>
      </c>
      <c r="O634" s="198"/>
      <c r="P634" s="18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</row>
    <row r="635" spans="1:77" s="41" customFormat="1" ht="15.75">
      <c r="A635" s="64" t="str">
        <f>IF(F635&lt;&gt;"",1+MAX($A$2:A589),"")</f>
        <v/>
      </c>
      <c r="B635" s="230"/>
      <c r="C635" s="227"/>
      <c r="D635" s="188"/>
      <c r="E635" s="189"/>
      <c r="F635" s="188"/>
      <c r="G635" s="190"/>
      <c r="H635" s="191"/>
      <c r="I635" s="192"/>
      <c r="J635" s="192"/>
      <c r="K635" s="192"/>
      <c r="L635" s="228"/>
      <c r="M635" s="229"/>
      <c r="N635" s="197"/>
      <c r="O635" s="198"/>
      <c r="P635" s="18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</row>
    <row r="636" spans="1:77" s="42" customFormat="1" ht="18.75">
      <c r="A636" s="310" t="s">
        <v>509</v>
      </c>
      <c r="B636" s="311"/>
      <c r="C636" s="311"/>
      <c r="D636" s="311"/>
      <c r="E636" s="311"/>
      <c r="F636" s="311"/>
      <c r="G636" s="311"/>
      <c r="H636" s="311"/>
      <c r="I636" s="311"/>
      <c r="J636" s="311"/>
      <c r="K636" s="311"/>
      <c r="L636" s="311"/>
      <c r="M636" s="311"/>
      <c r="N636" s="311"/>
      <c r="O636" s="311"/>
      <c r="P636" s="240">
        <f>SUM(N637:N846)</f>
        <v>0</v>
      </c>
      <c r="Q636" s="2"/>
      <c r="R636" s="2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</row>
    <row r="637" spans="1:77" s="41" customFormat="1" ht="15.75">
      <c r="A637" s="64" t="str">
        <f>IF(F637&lt;&gt;"",1+MAX($A$2:A636),"")</f>
        <v/>
      </c>
      <c r="B637" s="230"/>
      <c r="C637" s="227"/>
      <c r="D637" s="188"/>
      <c r="E637" s="189"/>
      <c r="F637" s="188"/>
      <c r="G637" s="190"/>
      <c r="H637" s="191"/>
      <c r="I637" s="192"/>
      <c r="J637" s="192"/>
      <c r="K637" s="192"/>
      <c r="L637" s="228"/>
      <c r="M637" s="229"/>
      <c r="N637" s="197"/>
      <c r="O637" s="198"/>
      <c r="P637" s="18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</row>
    <row r="638" spans="1:77" s="41" customFormat="1" ht="15.75">
      <c r="A638" s="64" t="str">
        <f>IF(F638&lt;&gt;"",1+MAX($A$2:A637),"")</f>
        <v/>
      </c>
      <c r="B638" s="312" t="s">
        <v>510</v>
      </c>
      <c r="C638" s="203" t="s">
        <v>511</v>
      </c>
      <c r="D638" s="188"/>
      <c r="E638" s="189"/>
      <c r="F638" s="266"/>
      <c r="G638" s="190"/>
      <c r="H638" s="191"/>
      <c r="I638" s="192"/>
      <c r="J638" s="192"/>
      <c r="K638" s="192"/>
      <c r="L638" s="228"/>
      <c r="M638" s="229"/>
      <c r="N638" s="197"/>
      <c r="O638" s="198"/>
      <c r="P638" s="18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</row>
    <row r="639" spans="1:77" s="41" customFormat="1" ht="15.75">
      <c r="A639" s="64">
        <f>IF(F639&lt;&gt;"",1+MAX($A$2:A638),"")</f>
        <v>535</v>
      </c>
      <c r="B639" s="313"/>
      <c r="C639" s="226" t="s">
        <v>512</v>
      </c>
      <c r="D639" s="266">
        <v>190</v>
      </c>
      <c r="E639" s="189">
        <v>0.05</v>
      </c>
      <c r="F639" s="266">
        <f>(1+E639)*D639</f>
        <v>199.5</v>
      </c>
      <c r="G639" s="190" t="s">
        <v>13</v>
      </c>
      <c r="H639" s="191">
        <v>0</v>
      </c>
      <c r="I639" s="192">
        <f t="shared" ref="I639:I691" si="329">H639*F639</f>
        <v>0</v>
      </c>
      <c r="J639" s="193">
        <v>0</v>
      </c>
      <c r="K639" s="194">
        <f t="shared" ref="K639:K691" si="330">J639*F639</f>
        <v>0</v>
      </c>
      <c r="L639" s="195">
        <v>55</v>
      </c>
      <c r="M639" s="196">
        <f t="shared" ref="M639:M691" si="331">L639*K639</f>
        <v>0</v>
      </c>
      <c r="N639" s="197">
        <f t="shared" ref="N639:N691" si="332">M639+I639</f>
        <v>0</v>
      </c>
      <c r="O639" s="198"/>
      <c r="P639" s="18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</row>
    <row r="640" spans="1:77" s="41" customFormat="1" ht="15.75">
      <c r="A640" s="64">
        <f>IF(F640&lt;&gt;"",1+MAX($A$2:A639),"")</f>
        <v>536</v>
      </c>
      <c r="B640" s="313"/>
      <c r="C640" s="226" t="s">
        <v>513</v>
      </c>
      <c r="D640" s="266">
        <v>2.33</v>
      </c>
      <c r="E640" s="189">
        <v>0.05</v>
      </c>
      <c r="F640" s="266">
        <f t="shared" ref="F640:F684" si="333">(1+E640)*D640</f>
        <v>2.4465000000000003</v>
      </c>
      <c r="G640" s="190" t="s">
        <v>13</v>
      </c>
      <c r="H640" s="191">
        <v>0</v>
      </c>
      <c r="I640" s="192">
        <f t="shared" si="329"/>
        <v>0</v>
      </c>
      <c r="J640" s="193">
        <v>0</v>
      </c>
      <c r="K640" s="194">
        <f t="shared" si="330"/>
        <v>0</v>
      </c>
      <c r="L640" s="195">
        <v>55</v>
      </c>
      <c r="M640" s="196">
        <f t="shared" si="331"/>
        <v>0</v>
      </c>
      <c r="N640" s="197">
        <f t="shared" si="332"/>
        <v>0</v>
      </c>
      <c r="O640" s="198"/>
      <c r="P640" s="18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</row>
    <row r="641" spans="1:77" s="41" customFormat="1" ht="15.75">
      <c r="A641" s="64">
        <f>IF(F641&lt;&gt;"",1+MAX($A$2:A640),"")</f>
        <v>537</v>
      </c>
      <c r="B641" s="313"/>
      <c r="C641" s="226" t="s">
        <v>514</v>
      </c>
      <c r="D641" s="266">
        <v>40.479999999999997</v>
      </c>
      <c r="E641" s="189">
        <v>0.05</v>
      </c>
      <c r="F641" s="266">
        <f t="shared" si="333"/>
        <v>42.503999999999998</v>
      </c>
      <c r="G641" s="190" t="s">
        <v>13</v>
      </c>
      <c r="H641" s="191">
        <v>0</v>
      </c>
      <c r="I641" s="192">
        <f t="shared" si="329"/>
        <v>0</v>
      </c>
      <c r="J641" s="193">
        <v>0</v>
      </c>
      <c r="K641" s="194">
        <f t="shared" si="330"/>
        <v>0</v>
      </c>
      <c r="L641" s="195">
        <v>55</v>
      </c>
      <c r="M641" s="196">
        <f t="shared" si="331"/>
        <v>0</v>
      </c>
      <c r="N641" s="197">
        <f t="shared" si="332"/>
        <v>0</v>
      </c>
      <c r="O641" s="198"/>
      <c r="P641" s="18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</row>
    <row r="642" spans="1:77" s="41" customFormat="1" ht="15.75">
      <c r="A642" s="64">
        <f>IF(F642&lt;&gt;"",1+MAX($A$2:A641),"")</f>
        <v>538</v>
      </c>
      <c r="B642" s="313"/>
      <c r="C642" s="226" t="s">
        <v>515</v>
      </c>
      <c r="D642" s="266">
        <v>29.89</v>
      </c>
      <c r="E642" s="189">
        <v>0.05</v>
      </c>
      <c r="F642" s="266">
        <f t="shared" si="333"/>
        <v>31.384500000000003</v>
      </c>
      <c r="G642" s="190" t="s">
        <v>13</v>
      </c>
      <c r="H642" s="191">
        <v>0</v>
      </c>
      <c r="I642" s="192">
        <f t="shared" si="329"/>
        <v>0</v>
      </c>
      <c r="J642" s="193">
        <v>0</v>
      </c>
      <c r="K642" s="194">
        <f t="shared" si="330"/>
        <v>0</v>
      </c>
      <c r="L642" s="195">
        <v>55</v>
      </c>
      <c r="M642" s="196">
        <f t="shared" si="331"/>
        <v>0</v>
      </c>
      <c r="N642" s="197">
        <f t="shared" si="332"/>
        <v>0</v>
      </c>
      <c r="O642" s="198"/>
      <c r="P642" s="18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</row>
    <row r="643" spans="1:77" s="41" customFormat="1" ht="15.75">
      <c r="A643" s="64">
        <f>IF(F643&lt;&gt;"",1+MAX($A$2:A642),"")</f>
        <v>539</v>
      </c>
      <c r="B643" s="313"/>
      <c r="C643" s="226" t="s">
        <v>516</v>
      </c>
      <c r="D643" s="266">
        <v>110</v>
      </c>
      <c r="E643" s="189">
        <v>0.05</v>
      </c>
      <c r="F643" s="266">
        <f t="shared" si="333"/>
        <v>115.5</v>
      </c>
      <c r="G643" s="190" t="s">
        <v>13</v>
      </c>
      <c r="H643" s="191">
        <v>0</v>
      </c>
      <c r="I643" s="192">
        <f t="shared" si="329"/>
        <v>0</v>
      </c>
      <c r="J643" s="193">
        <v>0</v>
      </c>
      <c r="K643" s="194">
        <f t="shared" si="330"/>
        <v>0</v>
      </c>
      <c r="L643" s="195">
        <v>55</v>
      </c>
      <c r="M643" s="196">
        <f t="shared" si="331"/>
        <v>0</v>
      </c>
      <c r="N643" s="197">
        <f t="shared" si="332"/>
        <v>0</v>
      </c>
      <c r="O643" s="198"/>
      <c r="P643" s="18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</row>
    <row r="644" spans="1:77" s="41" customFormat="1" ht="15.75">
      <c r="A644" s="64">
        <f>IF(F644&lt;&gt;"",1+MAX($A$2:A643),"")</f>
        <v>540</v>
      </c>
      <c r="B644" s="313"/>
      <c r="C644" s="226" t="s">
        <v>517</v>
      </c>
      <c r="D644" s="266">
        <v>44.31</v>
      </c>
      <c r="E644" s="189">
        <v>0.05</v>
      </c>
      <c r="F644" s="266">
        <f t="shared" si="333"/>
        <v>46.525500000000001</v>
      </c>
      <c r="G644" s="190" t="s">
        <v>13</v>
      </c>
      <c r="H644" s="191">
        <v>0</v>
      </c>
      <c r="I644" s="192">
        <f t="shared" si="329"/>
        <v>0</v>
      </c>
      <c r="J644" s="193">
        <v>0</v>
      </c>
      <c r="K644" s="194">
        <f t="shared" si="330"/>
        <v>0</v>
      </c>
      <c r="L644" s="195">
        <v>55</v>
      </c>
      <c r="M644" s="196">
        <f t="shared" si="331"/>
        <v>0</v>
      </c>
      <c r="N644" s="197">
        <f t="shared" si="332"/>
        <v>0</v>
      </c>
      <c r="O644" s="198"/>
      <c r="P644" s="18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</row>
    <row r="645" spans="1:77" s="41" customFormat="1" ht="15.75">
      <c r="A645" s="64">
        <f>IF(F645&lt;&gt;"",1+MAX($A$2:A644),"")</f>
        <v>541</v>
      </c>
      <c r="B645" s="313"/>
      <c r="C645" s="226" t="s">
        <v>518</v>
      </c>
      <c r="D645" s="266">
        <v>12.68</v>
      </c>
      <c r="E645" s="189">
        <v>0.05</v>
      </c>
      <c r="F645" s="266">
        <f t="shared" si="333"/>
        <v>13.314</v>
      </c>
      <c r="G645" s="190" t="s">
        <v>13</v>
      </c>
      <c r="H645" s="191">
        <v>0</v>
      </c>
      <c r="I645" s="192">
        <f t="shared" si="329"/>
        <v>0</v>
      </c>
      <c r="J645" s="193">
        <v>0</v>
      </c>
      <c r="K645" s="194">
        <f t="shared" si="330"/>
        <v>0</v>
      </c>
      <c r="L645" s="195">
        <v>55</v>
      </c>
      <c r="M645" s="196">
        <f t="shared" si="331"/>
        <v>0</v>
      </c>
      <c r="N645" s="197">
        <f t="shared" si="332"/>
        <v>0</v>
      </c>
      <c r="O645" s="198"/>
      <c r="P645" s="18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</row>
    <row r="646" spans="1:77" s="41" customFormat="1" ht="15.75">
      <c r="A646" s="64">
        <f>IF(F646&lt;&gt;"",1+MAX($A$2:A645),"")</f>
        <v>542</v>
      </c>
      <c r="B646" s="313"/>
      <c r="C646" s="226" t="s">
        <v>519</v>
      </c>
      <c r="D646" s="266">
        <v>7.04</v>
      </c>
      <c r="E646" s="189">
        <v>0.05</v>
      </c>
      <c r="F646" s="266">
        <f t="shared" si="333"/>
        <v>7.3920000000000003</v>
      </c>
      <c r="G646" s="190" t="s">
        <v>13</v>
      </c>
      <c r="H646" s="191">
        <v>0</v>
      </c>
      <c r="I646" s="192">
        <f t="shared" si="329"/>
        <v>0</v>
      </c>
      <c r="J646" s="193">
        <v>0</v>
      </c>
      <c r="K646" s="194">
        <f t="shared" si="330"/>
        <v>0</v>
      </c>
      <c r="L646" s="195">
        <v>55</v>
      </c>
      <c r="M646" s="196">
        <f t="shared" si="331"/>
        <v>0</v>
      </c>
      <c r="N646" s="197">
        <f t="shared" si="332"/>
        <v>0</v>
      </c>
      <c r="O646" s="198"/>
      <c r="P646" s="18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</row>
    <row r="647" spans="1:77" s="41" customFormat="1" ht="15.75">
      <c r="A647" s="64">
        <f>IF(F647&lt;&gt;"",1+MAX($A$2:A646),"")</f>
        <v>543</v>
      </c>
      <c r="B647" s="313"/>
      <c r="C647" s="226" t="s">
        <v>520</v>
      </c>
      <c r="D647" s="266">
        <v>11</v>
      </c>
      <c r="E647" s="189">
        <v>0.05</v>
      </c>
      <c r="F647" s="266">
        <f t="shared" si="333"/>
        <v>11.55</v>
      </c>
      <c r="G647" s="190" t="s">
        <v>13</v>
      </c>
      <c r="H647" s="191">
        <v>0</v>
      </c>
      <c r="I647" s="192">
        <f t="shared" si="329"/>
        <v>0</v>
      </c>
      <c r="J647" s="193">
        <v>0</v>
      </c>
      <c r="K647" s="194">
        <f t="shared" si="330"/>
        <v>0</v>
      </c>
      <c r="L647" s="195">
        <v>55</v>
      </c>
      <c r="M647" s="196">
        <f t="shared" si="331"/>
        <v>0</v>
      </c>
      <c r="N647" s="197">
        <f t="shared" si="332"/>
        <v>0</v>
      </c>
      <c r="O647" s="198"/>
      <c r="P647" s="18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</row>
    <row r="648" spans="1:77" s="41" customFormat="1" ht="15.75">
      <c r="A648" s="64">
        <f>IF(F648&lt;&gt;"",1+MAX($A$2:A647),"")</f>
        <v>544</v>
      </c>
      <c r="B648" s="313"/>
      <c r="C648" s="226" t="s">
        <v>521</v>
      </c>
      <c r="D648" s="266">
        <v>36.08</v>
      </c>
      <c r="E648" s="189">
        <v>0.05</v>
      </c>
      <c r="F648" s="266">
        <f t="shared" si="333"/>
        <v>37.884</v>
      </c>
      <c r="G648" s="190" t="s">
        <v>13</v>
      </c>
      <c r="H648" s="191">
        <v>0</v>
      </c>
      <c r="I648" s="192">
        <f t="shared" si="329"/>
        <v>0</v>
      </c>
      <c r="J648" s="193">
        <v>0</v>
      </c>
      <c r="K648" s="194">
        <f t="shared" si="330"/>
        <v>0</v>
      </c>
      <c r="L648" s="195">
        <v>55</v>
      </c>
      <c r="M648" s="196">
        <f t="shared" si="331"/>
        <v>0</v>
      </c>
      <c r="N648" s="197">
        <f t="shared" si="332"/>
        <v>0</v>
      </c>
      <c r="O648" s="198"/>
      <c r="P648" s="18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</row>
    <row r="649" spans="1:77" s="41" customFormat="1" ht="15.75">
      <c r="A649" s="64">
        <f>IF(F649&lt;&gt;"",1+MAX($A$2:A648),"")</f>
        <v>545</v>
      </c>
      <c r="B649" s="313"/>
      <c r="C649" s="226" t="s">
        <v>522</v>
      </c>
      <c r="D649" s="266">
        <v>48.84</v>
      </c>
      <c r="E649" s="189">
        <v>0.05</v>
      </c>
      <c r="F649" s="266">
        <f t="shared" si="333"/>
        <v>51.282000000000004</v>
      </c>
      <c r="G649" s="190" t="s">
        <v>13</v>
      </c>
      <c r="H649" s="191">
        <v>0</v>
      </c>
      <c r="I649" s="192">
        <f t="shared" si="329"/>
        <v>0</v>
      </c>
      <c r="J649" s="193">
        <v>0</v>
      </c>
      <c r="K649" s="194">
        <f t="shared" si="330"/>
        <v>0</v>
      </c>
      <c r="L649" s="195">
        <v>55</v>
      </c>
      <c r="M649" s="196">
        <f t="shared" si="331"/>
        <v>0</v>
      </c>
      <c r="N649" s="197">
        <f t="shared" si="332"/>
        <v>0</v>
      </c>
      <c r="O649" s="198"/>
      <c r="P649" s="18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</row>
    <row r="650" spans="1:77" s="41" customFormat="1" ht="15.75">
      <c r="A650" s="64">
        <f>IF(F650&lt;&gt;"",1+MAX($A$2:A649),"")</f>
        <v>546</v>
      </c>
      <c r="B650" s="313"/>
      <c r="C650" s="226" t="s">
        <v>523</v>
      </c>
      <c r="D650" s="266">
        <v>12.37</v>
      </c>
      <c r="E650" s="189">
        <v>0.05</v>
      </c>
      <c r="F650" s="266">
        <f t="shared" si="333"/>
        <v>12.9885</v>
      </c>
      <c r="G650" s="190" t="s">
        <v>13</v>
      </c>
      <c r="H650" s="191">
        <v>0</v>
      </c>
      <c r="I650" s="192">
        <f t="shared" si="329"/>
        <v>0</v>
      </c>
      <c r="J650" s="193">
        <v>0</v>
      </c>
      <c r="K650" s="194">
        <f t="shared" si="330"/>
        <v>0</v>
      </c>
      <c r="L650" s="195">
        <v>55</v>
      </c>
      <c r="M650" s="196">
        <f t="shared" si="331"/>
        <v>0</v>
      </c>
      <c r="N650" s="197">
        <f t="shared" si="332"/>
        <v>0</v>
      </c>
      <c r="O650" s="198"/>
      <c r="P650" s="18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</row>
    <row r="651" spans="1:77" s="41" customFormat="1" ht="15.75">
      <c r="A651" s="64">
        <f>IF(F651&lt;&gt;"",1+MAX($A$2:A650),"")</f>
        <v>547</v>
      </c>
      <c r="B651" s="313"/>
      <c r="C651" s="226" t="s">
        <v>524</v>
      </c>
      <c r="D651" s="266">
        <v>40.01</v>
      </c>
      <c r="E651" s="189">
        <v>0.05</v>
      </c>
      <c r="F651" s="266">
        <f t="shared" si="333"/>
        <v>42.0105</v>
      </c>
      <c r="G651" s="190" t="s">
        <v>13</v>
      </c>
      <c r="H651" s="191">
        <v>0</v>
      </c>
      <c r="I651" s="192">
        <f t="shared" si="329"/>
        <v>0</v>
      </c>
      <c r="J651" s="193">
        <v>0</v>
      </c>
      <c r="K651" s="194">
        <f t="shared" si="330"/>
        <v>0</v>
      </c>
      <c r="L651" s="195">
        <v>55</v>
      </c>
      <c r="M651" s="196">
        <f t="shared" si="331"/>
        <v>0</v>
      </c>
      <c r="N651" s="197">
        <f t="shared" si="332"/>
        <v>0</v>
      </c>
      <c r="O651" s="198"/>
      <c r="P651" s="18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</row>
    <row r="652" spans="1:77" s="41" customFormat="1" ht="15.75">
      <c r="A652" s="64">
        <f>IF(F652&lt;&gt;"",1+MAX($A$2:A651),"")</f>
        <v>548</v>
      </c>
      <c r="B652" s="313"/>
      <c r="C652" s="226" t="s">
        <v>525</v>
      </c>
      <c r="D652" s="266">
        <v>20.29</v>
      </c>
      <c r="E652" s="189">
        <v>0.05</v>
      </c>
      <c r="F652" s="266">
        <f t="shared" si="333"/>
        <v>21.304500000000001</v>
      </c>
      <c r="G652" s="190" t="s">
        <v>13</v>
      </c>
      <c r="H652" s="191">
        <v>0</v>
      </c>
      <c r="I652" s="192">
        <f t="shared" si="329"/>
        <v>0</v>
      </c>
      <c r="J652" s="193">
        <v>0</v>
      </c>
      <c r="K652" s="194">
        <f t="shared" si="330"/>
        <v>0</v>
      </c>
      <c r="L652" s="195">
        <v>55</v>
      </c>
      <c r="M652" s="196">
        <f t="shared" si="331"/>
        <v>0</v>
      </c>
      <c r="N652" s="197">
        <f t="shared" si="332"/>
        <v>0</v>
      </c>
      <c r="O652" s="198"/>
      <c r="P652" s="18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</row>
    <row r="653" spans="1:77" s="41" customFormat="1" ht="15.75">
      <c r="A653" s="64">
        <f>IF(F653&lt;&gt;"",1+MAX($A$2:A652),"")</f>
        <v>549</v>
      </c>
      <c r="B653" s="313"/>
      <c r="C653" s="226" t="s">
        <v>526</v>
      </c>
      <c r="D653" s="266">
        <v>1598</v>
      </c>
      <c r="E653" s="189">
        <v>0.05</v>
      </c>
      <c r="F653" s="266">
        <f t="shared" si="333"/>
        <v>1677.9</v>
      </c>
      <c r="G653" s="190" t="s">
        <v>13</v>
      </c>
      <c r="H653" s="191">
        <v>0</v>
      </c>
      <c r="I653" s="192">
        <f t="shared" si="329"/>
        <v>0</v>
      </c>
      <c r="J653" s="193">
        <v>0</v>
      </c>
      <c r="K653" s="194">
        <f t="shared" si="330"/>
        <v>0</v>
      </c>
      <c r="L653" s="195">
        <v>55</v>
      </c>
      <c r="M653" s="196">
        <f t="shared" si="331"/>
        <v>0</v>
      </c>
      <c r="N653" s="197">
        <f t="shared" si="332"/>
        <v>0</v>
      </c>
      <c r="O653" s="198"/>
      <c r="P653" s="18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</row>
    <row r="654" spans="1:77" s="41" customFormat="1" ht="15.75">
      <c r="A654" s="64">
        <f>IF(F654&lt;&gt;"",1+MAX($A$2:A653),"")</f>
        <v>550</v>
      </c>
      <c r="B654" s="313"/>
      <c r="C654" s="226" t="s">
        <v>527</v>
      </c>
      <c r="D654" s="266">
        <v>434</v>
      </c>
      <c r="E654" s="189">
        <v>0.05</v>
      </c>
      <c r="F654" s="266">
        <f t="shared" si="333"/>
        <v>455.70000000000005</v>
      </c>
      <c r="G654" s="190" t="s">
        <v>13</v>
      </c>
      <c r="H654" s="191">
        <v>0</v>
      </c>
      <c r="I654" s="192">
        <f t="shared" si="329"/>
        <v>0</v>
      </c>
      <c r="J654" s="193">
        <v>0</v>
      </c>
      <c r="K654" s="194">
        <f t="shared" si="330"/>
        <v>0</v>
      </c>
      <c r="L654" s="195">
        <v>55</v>
      </c>
      <c r="M654" s="196">
        <f t="shared" si="331"/>
        <v>0</v>
      </c>
      <c r="N654" s="197">
        <f t="shared" si="332"/>
        <v>0</v>
      </c>
      <c r="O654" s="198"/>
      <c r="P654" s="18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</row>
    <row r="655" spans="1:77" s="41" customFormat="1" ht="15.75">
      <c r="A655" s="64">
        <f>IF(F655&lt;&gt;"",1+MAX($A$2:A654),"")</f>
        <v>551</v>
      </c>
      <c r="B655" s="313"/>
      <c r="C655" s="226" t="s">
        <v>528</v>
      </c>
      <c r="D655" s="266">
        <v>36.85</v>
      </c>
      <c r="E655" s="189">
        <v>0.05</v>
      </c>
      <c r="F655" s="266">
        <f t="shared" si="333"/>
        <v>38.692500000000003</v>
      </c>
      <c r="G655" s="190" t="s">
        <v>13</v>
      </c>
      <c r="H655" s="191">
        <v>0</v>
      </c>
      <c r="I655" s="192">
        <f t="shared" si="329"/>
        <v>0</v>
      </c>
      <c r="J655" s="193">
        <v>0</v>
      </c>
      <c r="K655" s="194">
        <f t="shared" si="330"/>
        <v>0</v>
      </c>
      <c r="L655" s="195">
        <v>55</v>
      </c>
      <c r="M655" s="196">
        <f t="shared" si="331"/>
        <v>0</v>
      </c>
      <c r="N655" s="197">
        <f t="shared" si="332"/>
        <v>0</v>
      </c>
      <c r="O655" s="198"/>
      <c r="P655" s="18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</row>
    <row r="656" spans="1:77" s="41" customFormat="1" ht="15.75">
      <c r="A656" s="64">
        <f>IF(F656&lt;&gt;"",1+MAX($A$2:A655),"")</f>
        <v>552</v>
      </c>
      <c r="B656" s="313"/>
      <c r="C656" s="226" t="s">
        <v>529</v>
      </c>
      <c r="D656" s="266">
        <v>15.35</v>
      </c>
      <c r="E656" s="189">
        <v>0.05</v>
      </c>
      <c r="F656" s="266">
        <f t="shared" si="333"/>
        <v>16.1175</v>
      </c>
      <c r="G656" s="190" t="s">
        <v>13</v>
      </c>
      <c r="H656" s="191">
        <v>0</v>
      </c>
      <c r="I656" s="192">
        <f t="shared" si="329"/>
        <v>0</v>
      </c>
      <c r="J656" s="193">
        <v>0</v>
      </c>
      <c r="K656" s="194">
        <f t="shared" si="330"/>
        <v>0</v>
      </c>
      <c r="L656" s="195">
        <v>55</v>
      </c>
      <c r="M656" s="196">
        <f t="shared" si="331"/>
        <v>0</v>
      </c>
      <c r="N656" s="197">
        <f t="shared" si="332"/>
        <v>0</v>
      </c>
      <c r="O656" s="198"/>
      <c r="P656" s="18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</row>
    <row r="657" spans="1:77" s="41" customFormat="1" ht="15.75">
      <c r="A657" s="64">
        <f>IF(F657&lt;&gt;"",1+MAX($A$2:A656),"")</f>
        <v>553</v>
      </c>
      <c r="B657" s="313"/>
      <c r="C657" s="226" t="s">
        <v>530</v>
      </c>
      <c r="D657" s="266">
        <v>209</v>
      </c>
      <c r="E657" s="189">
        <v>0.05</v>
      </c>
      <c r="F657" s="266">
        <f t="shared" si="333"/>
        <v>219.45000000000002</v>
      </c>
      <c r="G657" s="190" t="s">
        <v>13</v>
      </c>
      <c r="H657" s="191">
        <v>0</v>
      </c>
      <c r="I657" s="192">
        <f t="shared" si="329"/>
        <v>0</v>
      </c>
      <c r="J657" s="193">
        <v>0</v>
      </c>
      <c r="K657" s="194">
        <f t="shared" si="330"/>
        <v>0</v>
      </c>
      <c r="L657" s="195">
        <v>55</v>
      </c>
      <c r="M657" s="196">
        <f t="shared" si="331"/>
        <v>0</v>
      </c>
      <c r="N657" s="197">
        <f t="shared" si="332"/>
        <v>0</v>
      </c>
      <c r="O657" s="198"/>
      <c r="P657" s="18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</row>
    <row r="658" spans="1:77" s="41" customFormat="1" ht="15.75">
      <c r="A658" s="64">
        <f>IF(F658&lt;&gt;"",1+MAX($A$2:A657),"")</f>
        <v>554</v>
      </c>
      <c r="B658" s="313"/>
      <c r="C658" s="226" t="s">
        <v>531</v>
      </c>
      <c r="D658" s="266">
        <v>42.04</v>
      </c>
      <c r="E658" s="189">
        <v>0.05</v>
      </c>
      <c r="F658" s="266">
        <f t="shared" si="333"/>
        <v>44.142000000000003</v>
      </c>
      <c r="G658" s="190" t="s">
        <v>13</v>
      </c>
      <c r="H658" s="191">
        <v>0</v>
      </c>
      <c r="I658" s="192">
        <f t="shared" si="329"/>
        <v>0</v>
      </c>
      <c r="J658" s="193">
        <v>0</v>
      </c>
      <c r="K658" s="194">
        <f t="shared" si="330"/>
        <v>0</v>
      </c>
      <c r="L658" s="195">
        <v>55</v>
      </c>
      <c r="M658" s="196">
        <f t="shared" si="331"/>
        <v>0</v>
      </c>
      <c r="N658" s="197">
        <f t="shared" si="332"/>
        <v>0</v>
      </c>
      <c r="O658" s="198"/>
      <c r="P658" s="18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</row>
    <row r="659" spans="1:77" s="41" customFormat="1" ht="15.75">
      <c r="A659" s="64">
        <f>IF(F659&lt;&gt;"",1+MAX($A$2:A658),"")</f>
        <v>555</v>
      </c>
      <c r="B659" s="313"/>
      <c r="C659" s="226" t="s">
        <v>532</v>
      </c>
      <c r="D659" s="266">
        <v>21.21</v>
      </c>
      <c r="E659" s="189">
        <v>0.05</v>
      </c>
      <c r="F659" s="266">
        <f t="shared" si="333"/>
        <v>22.270500000000002</v>
      </c>
      <c r="G659" s="190" t="s">
        <v>13</v>
      </c>
      <c r="H659" s="191">
        <v>0</v>
      </c>
      <c r="I659" s="192">
        <f t="shared" si="329"/>
        <v>0</v>
      </c>
      <c r="J659" s="193">
        <v>0</v>
      </c>
      <c r="K659" s="194">
        <f t="shared" si="330"/>
        <v>0</v>
      </c>
      <c r="L659" s="195">
        <v>55</v>
      </c>
      <c r="M659" s="196">
        <f t="shared" si="331"/>
        <v>0</v>
      </c>
      <c r="N659" s="197">
        <f t="shared" si="332"/>
        <v>0</v>
      </c>
      <c r="O659" s="198"/>
      <c r="P659" s="18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</row>
    <row r="660" spans="1:77" s="41" customFormat="1" ht="15.75">
      <c r="A660" s="64">
        <f>IF(F660&lt;&gt;"",1+MAX($A$2:A659),"")</f>
        <v>556</v>
      </c>
      <c r="B660" s="313"/>
      <c r="C660" s="226" t="s">
        <v>533</v>
      </c>
      <c r="D660" s="266">
        <v>51.4</v>
      </c>
      <c r="E660" s="189">
        <v>0.05</v>
      </c>
      <c r="F660" s="266">
        <f t="shared" si="333"/>
        <v>53.97</v>
      </c>
      <c r="G660" s="190" t="s">
        <v>13</v>
      </c>
      <c r="H660" s="191">
        <v>0</v>
      </c>
      <c r="I660" s="192">
        <f t="shared" si="329"/>
        <v>0</v>
      </c>
      <c r="J660" s="193">
        <v>0</v>
      </c>
      <c r="K660" s="194">
        <f t="shared" si="330"/>
        <v>0</v>
      </c>
      <c r="L660" s="195">
        <v>55</v>
      </c>
      <c r="M660" s="196">
        <f t="shared" si="331"/>
        <v>0</v>
      </c>
      <c r="N660" s="197">
        <f t="shared" si="332"/>
        <v>0</v>
      </c>
      <c r="O660" s="198"/>
      <c r="P660" s="18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</row>
    <row r="661" spans="1:77" s="41" customFormat="1" ht="15.75">
      <c r="A661" s="64">
        <f>IF(F661&lt;&gt;"",1+MAX($A$2:A660),"")</f>
        <v>557</v>
      </c>
      <c r="B661" s="313"/>
      <c r="C661" s="226" t="s">
        <v>534</v>
      </c>
      <c r="D661" s="266">
        <v>260</v>
      </c>
      <c r="E661" s="189">
        <v>0.05</v>
      </c>
      <c r="F661" s="266">
        <f t="shared" si="333"/>
        <v>273</v>
      </c>
      <c r="G661" s="190" t="s">
        <v>13</v>
      </c>
      <c r="H661" s="191">
        <v>0</v>
      </c>
      <c r="I661" s="192">
        <f t="shared" si="329"/>
        <v>0</v>
      </c>
      <c r="J661" s="193">
        <v>0</v>
      </c>
      <c r="K661" s="194">
        <f t="shared" si="330"/>
        <v>0</v>
      </c>
      <c r="L661" s="195">
        <v>55</v>
      </c>
      <c r="M661" s="196">
        <f t="shared" si="331"/>
        <v>0</v>
      </c>
      <c r="N661" s="197">
        <f t="shared" si="332"/>
        <v>0</v>
      </c>
      <c r="O661" s="198"/>
      <c r="P661" s="18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</row>
    <row r="662" spans="1:77" s="41" customFormat="1" ht="15.75">
      <c r="A662" s="64">
        <f>IF(F662&lt;&gt;"",1+MAX($A$2:A661),"")</f>
        <v>558</v>
      </c>
      <c r="B662" s="313"/>
      <c r="C662" s="226" t="s">
        <v>535</v>
      </c>
      <c r="D662" s="266">
        <v>136</v>
      </c>
      <c r="E662" s="189">
        <v>0.05</v>
      </c>
      <c r="F662" s="266">
        <f t="shared" si="333"/>
        <v>142.80000000000001</v>
      </c>
      <c r="G662" s="190" t="s">
        <v>13</v>
      </c>
      <c r="H662" s="191">
        <v>0</v>
      </c>
      <c r="I662" s="192">
        <f t="shared" si="329"/>
        <v>0</v>
      </c>
      <c r="J662" s="193">
        <v>0</v>
      </c>
      <c r="K662" s="194">
        <f t="shared" si="330"/>
        <v>0</v>
      </c>
      <c r="L662" s="195">
        <v>55</v>
      </c>
      <c r="M662" s="196">
        <f t="shared" si="331"/>
        <v>0</v>
      </c>
      <c r="N662" s="197">
        <f t="shared" si="332"/>
        <v>0</v>
      </c>
      <c r="O662" s="198"/>
      <c r="P662" s="18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</row>
    <row r="663" spans="1:77" s="41" customFormat="1" ht="15.75">
      <c r="A663" s="64">
        <f>IF(F663&lt;&gt;"",1+MAX($A$2:A662),"")</f>
        <v>559</v>
      </c>
      <c r="B663" s="313"/>
      <c r="C663" s="226" t="s">
        <v>536</v>
      </c>
      <c r="D663" s="266">
        <v>15.24</v>
      </c>
      <c r="E663" s="189">
        <v>0.05</v>
      </c>
      <c r="F663" s="266">
        <f t="shared" si="333"/>
        <v>16.002000000000002</v>
      </c>
      <c r="G663" s="190" t="s">
        <v>13</v>
      </c>
      <c r="H663" s="191">
        <v>0</v>
      </c>
      <c r="I663" s="192">
        <f t="shared" si="329"/>
        <v>0</v>
      </c>
      <c r="J663" s="193">
        <v>0</v>
      </c>
      <c r="K663" s="194">
        <f t="shared" si="330"/>
        <v>0</v>
      </c>
      <c r="L663" s="195">
        <v>55</v>
      </c>
      <c r="M663" s="196">
        <f t="shared" si="331"/>
        <v>0</v>
      </c>
      <c r="N663" s="197">
        <f t="shared" si="332"/>
        <v>0</v>
      </c>
      <c r="O663" s="198"/>
      <c r="P663" s="18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</row>
    <row r="664" spans="1:77" s="41" customFormat="1" ht="15.75">
      <c r="A664" s="64">
        <f>IF(F664&lt;&gt;"",1+MAX($A$2:A663),"")</f>
        <v>560</v>
      </c>
      <c r="B664" s="313"/>
      <c r="C664" s="226" t="s">
        <v>537</v>
      </c>
      <c r="D664" s="266">
        <v>440</v>
      </c>
      <c r="E664" s="189">
        <v>0.05</v>
      </c>
      <c r="F664" s="266">
        <f t="shared" si="333"/>
        <v>462</v>
      </c>
      <c r="G664" s="190" t="s">
        <v>13</v>
      </c>
      <c r="H664" s="191">
        <v>0</v>
      </c>
      <c r="I664" s="192">
        <f t="shared" si="329"/>
        <v>0</v>
      </c>
      <c r="J664" s="193">
        <v>0</v>
      </c>
      <c r="K664" s="194">
        <f t="shared" si="330"/>
        <v>0</v>
      </c>
      <c r="L664" s="195">
        <v>55</v>
      </c>
      <c r="M664" s="196">
        <f t="shared" si="331"/>
        <v>0</v>
      </c>
      <c r="N664" s="197">
        <f t="shared" si="332"/>
        <v>0</v>
      </c>
      <c r="O664" s="198"/>
      <c r="P664" s="18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</row>
    <row r="665" spans="1:77" s="41" customFormat="1" ht="15.75">
      <c r="A665" s="64">
        <f>IF(F665&lt;&gt;"",1+MAX($A$2:A664),"")</f>
        <v>561</v>
      </c>
      <c r="B665" s="313"/>
      <c r="C665" s="226" t="s">
        <v>538</v>
      </c>
      <c r="D665" s="266">
        <v>135</v>
      </c>
      <c r="E665" s="189">
        <v>0.05</v>
      </c>
      <c r="F665" s="266">
        <f t="shared" si="333"/>
        <v>141.75</v>
      </c>
      <c r="G665" s="190" t="s">
        <v>13</v>
      </c>
      <c r="H665" s="191">
        <v>0</v>
      </c>
      <c r="I665" s="192">
        <f t="shared" si="329"/>
        <v>0</v>
      </c>
      <c r="J665" s="193">
        <v>0</v>
      </c>
      <c r="K665" s="194">
        <f t="shared" si="330"/>
        <v>0</v>
      </c>
      <c r="L665" s="195">
        <v>55</v>
      </c>
      <c r="M665" s="196">
        <f t="shared" si="331"/>
        <v>0</v>
      </c>
      <c r="N665" s="197">
        <f t="shared" si="332"/>
        <v>0</v>
      </c>
      <c r="O665" s="198"/>
      <c r="P665" s="18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</row>
    <row r="666" spans="1:77" s="41" customFormat="1" ht="15.75">
      <c r="A666" s="64">
        <f>IF(F666&lt;&gt;"",1+MAX($A$2:A665),"")</f>
        <v>562</v>
      </c>
      <c r="B666" s="313"/>
      <c r="C666" s="226" t="s">
        <v>539</v>
      </c>
      <c r="D666" s="266">
        <v>9.27</v>
      </c>
      <c r="E666" s="189">
        <v>0.05</v>
      </c>
      <c r="F666" s="266">
        <f>(1+E666)*D666</f>
        <v>9.7334999999999994</v>
      </c>
      <c r="G666" s="190" t="s">
        <v>13</v>
      </c>
      <c r="H666" s="191">
        <v>0</v>
      </c>
      <c r="I666" s="192">
        <f t="shared" si="329"/>
        <v>0</v>
      </c>
      <c r="J666" s="193">
        <v>0</v>
      </c>
      <c r="K666" s="194">
        <f t="shared" si="330"/>
        <v>0</v>
      </c>
      <c r="L666" s="195">
        <v>55</v>
      </c>
      <c r="M666" s="196">
        <f t="shared" si="331"/>
        <v>0</v>
      </c>
      <c r="N666" s="197">
        <f t="shared" si="332"/>
        <v>0</v>
      </c>
      <c r="O666" s="198"/>
      <c r="P666" s="18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</row>
    <row r="667" spans="1:77" s="41" customFormat="1" ht="15.75">
      <c r="A667" s="64">
        <f>IF(F667&lt;&gt;"",1+MAX($A$2:A666),"")</f>
        <v>563</v>
      </c>
      <c r="B667" s="313"/>
      <c r="C667" s="226" t="s">
        <v>540</v>
      </c>
      <c r="D667" s="266">
        <v>136</v>
      </c>
      <c r="E667" s="189">
        <v>0.05</v>
      </c>
      <c r="F667" s="266">
        <f t="shared" ref="F667:F671" si="334">(1+E667)*D667</f>
        <v>142.80000000000001</v>
      </c>
      <c r="G667" s="190" t="s">
        <v>13</v>
      </c>
      <c r="H667" s="191">
        <v>0</v>
      </c>
      <c r="I667" s="192">
        <f t="shared" si="329"/>
        <v>0</v>
      </c>
      <c r="J667" s="193">
        <v>0</v>
      </c>
      <c r="K667" s="194">
        <f t="shared" si="330"/>
        <v>0</v>
      </c>
      <c r="L667" s="195">
        <v>55</v>
      </c>
      <c r="M667" s="196">
        <f t="shared" si="331"/>
        <v>0</v>
      </c>
      <c r="N667" s="197">
        <f t="shared" si="332"/>
        <v>0</v>
      </c>
      <c r="O667" s="198"/>
      <c r="P667" s="18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</row>
    <row r="668" spans="1:77" s="41" customFormat="1" ht="15.75">
      <c r="A668" s="64">
        <f>IF(F668&lt;&gt;"",1+MAX($A$2:A667),"")</f>
        <v>564</v>
      </c>
      <c r="B668" s="313"/>
      <c r="C668" s="226" t="s">
        <v>541</v>
      </c>
      <c r="D668" s="266">
        <v>19.21</v>
      </c>
      <c r="E668" s="189">
        <v>0.05</v>
      </c>
      <c r="F668" s="266">
        <f t="shared" si="334"/>
        <v>20.170500000000001</v>
      </c>
      <c r="G668" s="190" t="s">
        <v>13</v>
      </c>
      <c r="H668" s="191">
        <v>0</v>
      </c>
      <c r="I668" s="192">
        <f t="shared" si="329"/>
        <v>0</v>
      </c>
      <c r="J668" s="193">
        <v>0</v>
      </c>
      <c r="K668" s="194">
        <f t="shared" si="330"/>
        <v>0</v>
      </c>
      <c r="L668" s="195">
        <v>55</v>
      </c>
      <c r="M668" s="196">
        <f t="shared" si="331"/>
        <v>0</v>
      </c>
      <c r="N668" s="197">
        <f t="shared" si="332"/>
        <v>0</v>
      </c>
      <c r="O668" s="198"/>
      <c r="P668" s="18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</row>
    <row r="669" spans="1:77" s="41" customFormat="1" ht="15.75">
      <c r="A669" s="64">
        <f>IF(F669&lt;&gt;"",1+MAX($A$2:A668),"")</f>
        <v>565</v>
      </c>
      <c r="B669" s="313"/>
      <c r="C669" s="226" t="s">
        <v>542</v>
      </c>
      <c r="D669" s="266">
        <v>3.01</v>
      </c>
      <c r="E669" s="189">
        <v>0.05</v>
      </c>
      <c r="F669" s="266">
        <f t="shared" si="334"/>
        <v>3.1604999999999999</v>
      </c>
      <c r="G669" s="190" t="s">
        <v>13</v>
      </c>
      <c r="H669" s="191">
        <v>0</v>
      </c>
      <c r="I669" s="192">
        <f t="shared" si="329"/>
        <v>0</v>
      </c>
      <c r="J669" s="193">
        <v>0</v>
      </c>
      <c r="K669" s="194">
        <f t="shared" si="330"/>
        <v>0</v>
      </c>
      <c r="L669" s="195">
        <v>55</v>
      </c>
      <c r="M669" s="196">
        <f t="shared" si="331"/>
        <v>0</v>
      </c>
      <c r="N669" s="197">
        <f t="shared" si="332"/>
        <v>0</v>
      </c>
      <c r="O669" s="198"/>
      <c r="P669" s="18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</row>
    <row r="670" spans="1:77" s="41" customFormat="1" ht="15.75">
      <c r="A670" s="64">
        <f>IF(F670&lt;&gt;"",1+MAX($A$2:A669),"")</f>
        <v>566</v>
      </c>
      <c r="B670" s="313"/>
      <c r="C670" s="226" t="s">
        <v>543</v>
      </c>
      <c r="D670" s="266">
        <v>26</v>
      </c>
      <c r="E670" s="189">
        <v>0.05</v>
      </c>
      <c r="F670" s="266">
        <f t="shared" si="334"/>
        <v>27.3</v>
      </c>
      <c r="G670" s="190" t="s">
        <v>13</v>
      </c>
      <c r="H670" s="191">
        <v>0</v>
      </c>
      <c r="I670" s="192">
        <f t="shared" si="329"/>
        <v>0</v>
      </c>
      <c r="J670" s="193">
        <v>0</v>
      </c>
      <c r="K670" s="194">
        <f t="shared" si="330"/>
        <v>0</v>
      </c>
      <c r="L670" s="195">
        <v>55</v>
      </c>
      <c r="M670" s="196">
        <f t="shared" si="331"/>
        <v>0</v>
      </c>
      <c r="N670" s="197">
        <f t="shared" si="332"/>
        <v>0</v>
      </c>
      <c r="O670" s="198"/>
      <c r="P670" s="18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</row>
    <row r="671" spans="1:77" s="41" customFormat="1" ht="15.75">
      <c r="A671" s="64">
        <f>IF(F671&lt;&gt;"",1+MAX($A$2:A670),"")</f>
        <v>567</v>
      </c>
      <c r="B671" s="313"/>
      <c r="C671" s="226" t="s">
        <v>544</v>
      </c>
      <c r="D671" s="266">
        <v>18.38</v>
      </c>
      <c r="E671" s="189">
        <v>0.05</v>
      </c>
      <c r="F671" s="266">
        <f t="shared" si="334"/>
        <v>19.298999999999999</v>
      </c>
      <c r="G671" s="190" t="s">
        <v>13</v>
      </c>
      <c r="H671" s="191">
        <v>0</v>
      </c>
      <c r="I671" s="192">
        <f t="shared" si="329"/>
        <v>0</v>
      </c>
      <c r="J671" s="193">
        <v>0</v>
      </c>
      <c r="K671" s="194">
        <f t="shared" si="330"/>
        <v>0</v>
      </c>
      <c r="L671" s="195">
        <v>55</v>
      </c>
      <c r="M671" s="196">
        <f t="shared" si="331"/>
        <v>0</v>
      </c>
      <c r="N671" s="197">
        <f t="shared" si="332"/>
        <v>0</v>
      </c>
      <c r="O671" s="198"/>
      <c r="P671" s="18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</row>
    <row r="672" spans="1:77" s="41" customFormat="1" ht="15.75">
      <c r="A672" s="64">
        <f>IF(F672&lt;&gt;"",1+MAX($A$2:A671),"")</f>
        <v>568</v>
      </c>
      <c r="B672" s="313"/>
      <c r="C672" s="226" t="s">
        <v>545</v>
      </c>
      <c r="D672" s="266">
        <v>16.73</v>
      </c>
      <c r="E672" s="189">
        <v>0.05</v>
      </c>
      <c r="F672" s="266">
        <f t="shared" si="333"/>
        <v>17.566500000000001</v>
      </c>
      <c r="G672" s="190" t="s">
        <v>13</v>
      </c>
      <c r="H672" s="191">
        <v>0</v>
      </c>
      <c r="I672" s="192">
        <f t="shared" si="329"/>
        <v>0</v>
      </c>
      <c r="J672" s="193">
        <v>0</v>
      </c>
      <c r="K672" s="194">
        <f t="shared" si="330"/>
        <v>0</v>
      </c>
      <c r="L672" s="195">
        <v>55</v>
      </c>
      <c r="M672" s="196">
        <f t="shared" si="331"/>
        <v>0</v>
      </c>
      <c r="N672" s="197">
        <f t="shared" si="332"/>
        <v>0</v>
      </c>
      <c r="O672" s="198"/>
      <c r="P672" s="18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</row>
    <row r="673" spans="1:77" s="41" customFormat="1" ht="15.75">
      <c r="A673" s="64">
        <f>IF(F673&lt;&gt;"",1+MAX($A$2:A672),"")</f>
        <v>569</v>
      </c>
      <c r="B673" s="313"/>
      <c r="C673" s="226" t="s">
        <v>546</v>
      </c>
      <c r="D673" s="266">
        <v>121</v>
      </c>
      <c r="E673" s="189">
        <v>0.05</v>
      </c>
      <c r="F673" s="266">
        <f t="shared" si="333"/>
        <v>127.05000000000001</v>
      </c>
      <c r="G673" s="190" t="s">
        <v>13</v>
      </c>
      <c r="H673" s="191">
        <v>0</v>
      </c>
      <c r="I673" s="192">
        <f t="shared" si="329"/>
        <v>0</v>
      </c>
      <c r="J673" s="193">
        <v>0</v>
      </c>
      <c r="K673" s="194">
        <f t="shared" si="330"/>
        <v>0</v>
      </c>
      <c r="L673" s="195">
        <v>55</v>
      </c>
      <c r="M673" s="196">
        <f t="shared" si="331"/>
        <v>0</v>
      </c>
      <c r="N673" s="197">
        <f t="shared" si="332"/>
        <v>0</v>
      </c>
      <c r="O673" s="198"/>
      <c r="P673" s="18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</row>
    <row r="674" spans="1:77" s="41" customFormat="1" ht="15.75">
      <c r="A674" s="64">
        <f>IF(F674&lt;&gt;"",1+MAX($A$2:A673),"")</f>
        <v>570</v>
      </c>
      <c r="B674" s="313"/>
      <c r="C674" s="226" t="s">
        <v>547</v>
      </c>
      <c r="D674" s="266">
        <v>31.69</v>
      </c>
      <c r="E674" s="189">
        <v>0.05</v>
      </c>
      <c r="F674" s="266">
        <f t="shared" si="333"/>
        <v>33.274500000000003</v>
      </c>
      <c r="G674" s="190" t="s">
        <v>13</v>
      </c>
      <c r="H674" s="191">
        <v>0</v>
      </c>
      <c r="I674" s="192">
        <f t="shared" si="329"/>
        <v>0</v>
      </c>
      <c r="J674" s="193">
        <v>0</v>
      </c>
      <c r="K674" s="194">
        <f t="shared" si="330"/>
        <v>0</v>
      </c>
      <c r="L674" s="195">
        <v>55</v>
      </c>
      <c r="M674" s="196">
        <f t="shared" si="331"/>
        <v>0</v>
      </c>
      <c r="N674" s="197">
        <f t="shared" si="332"/>
        <v>0</v>
      </c>
      <c r="O674" s="198"/>
      <c r="P674" s="18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</row>
    <row r="675" spans="1:77" s="41" customFormat="1" ht="15.75">
      <c r="A675" s="64">
        <f>IF(F675&lt;&gt;"",1+MAX($A$2:A674),"")</f>
        <v>571</v>
      </c>
      <c r="B675" s="313"/>
      <c r="C675" s="226" t="s">
        <v>548</v>
      </c>
      <c r="D675" s="266">
        <v>5.63</v>
      </c>
      <c r="E675" s="189">
        <v>0.05</v>
      </c>
      <c r="F675" s="266">
        <f t="shared" si="333"/>
        <v>5.9115000000000002</v>
      </c>
      <c r="G675" s="190" t="s">
        <v>13</v>
      </c>
      <c r="H675" s="191">
        <v>0</v>
      </c>
      <c r="I675" s="192">
        <f t="shared" si="329"/>
        <v>0</v>
      </c>
      <c r="J675" s="193">
        <v>0</v>
      </c>
      <c r="K675" s="194">
        <f t="shared" si="330"/>
        <v>0</v>
      </c>
      <c r="L675" s="195">
        <v>55</v>
      </c>
      <c r="M675" s="196">
        <f t="shared" si="331"/>
        <v>0</v>
      </c>
      <c r="N675" s="197">
        <f t="shared" si="332"/>
        <v>0</v>
      </c>
      <c r="O675" s="198"/>
      <c r="P675" s="18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</row>
    <row r="676" spans="1:77" s="41" customFormat="1" ht="15.75">
      <c r="A676" s="64">
        <f>IF(F676&lt;&gt;"",1+MAX($A$2:A675),"")</f>
        <v>572</v>
      </c>
      <c r="B676" s="313"/>
      <c r="C676" s="226" t="s">
        <v>549</v>
      </c>
      <c r="D676" s="266">
        <v>4.95</v>
      </c>
      <c r="E676" s="189">
        <v>0.05</v>
      </c>
      <c r="F676" s="266">
        <f t="shared" si="333"/>
        <v>5.1975000000000007</v>
      </c>
      <c r="G676" s="190" t="s">
        <v>13</v>
      </c>
      <c r="H676" s="191">
        <v>0</v>
      </c>
      <c r="I676" s="192">
        <f t="shared" si="329"/>
        <v>0</v>
      </c>
      <c r="J676" s="193">
        <v>0</v>
      </c>
      <c r="K676" s="194">
        <f t="shared" si="330"/>
        <v>0</v>
      </c>
      <c r="L676" s="195">
        <v>55</v>
      </c>
      <c r="M676" s="196">
        <f t="shared" si="331"/>
        <v>0</v>
      </c>
      <c r="N676" s="197">
        <f t="shared" si="332"/>
        <v>0</v>
      </c>
      <c r="O676" s="198"/>
      <c r="P676" s="18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</row>
    <row r="677" spans="1:77" s="41" customFormat="1" ht="15.75">
      <c r="A677" s="64">
        <f>IF(F677&lt;&gt;"",1+MAX($A$2:A676),"")</f>
        <v>573</v>
      </c>
      <c r="B677" s="313"/>
      <c r="C677" s="226" t="s">
        <v>550</v>
      </c>
      <c r="D677" s="266">
        <v>3.55</v>
      </c>
      <c r="E677" s="189">
        <v>0.05</v>
      </c>
      <c r="F677" s="266">
        <f t="shared" si="333"/>
        <v>3.7275</v>
      </c>
      <c r="G677" s="190" t="s">
        <v>13</v>
      </c>
      <c r="H677" s="191">
        <v>0</v>
      </c>
      <c r="I677" s="192">
        <f t="shared" si="329"/>
        <v>0</v>
      </c>
      <c r="J677" s="193">
        <v>0</v>
      </c>
      <c r="K677" s="194">
        <f t="shared" si="330"/>
        <v>0</v>
      </c>
      <c r="L677" s="195">
        <v>55</v>
      </c>
      <c r="M677" s="196">
        <f t="shared" si="331"/>
        <v>0</v>
      </c>
      <c r="N677" s="197">
        <f t="shared" si="332"/>
        <v>0</v>
      </c>
      <c r="O677" s="198"/>
      <c r="P677" s="18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</row>
    <row r="678" spans="1:77" s="41" customFormat="1" ht="15.75">
      <c r="A678" s="64">
        <f>IF(F678&lt;&gt;"",1+MAX($A$2:A677),"")</f>
        <v>574</v>
      </c>
      <c r="B678" s="313"/>
      <c r="C678" s="226" t="s">
        <v>551</v>
      </c>
      <c r="D678" s="266">
        <v>52.75</v>
      </c>
      <c r="E678" s="189">
        <v>0.05</v>
      </c>
      <c r="F678" s="266">
        <f t="shared" si="333"/>
        <v>55.387500000000003</v>
      </c>
      <c r="G678" s="190" t="s">
        <v>13</v>
      </c>
      <c r="H678" s="191">
        <v>0</v>
      </c>
      <c r="I678" s="192">
        <f t="shared" si="329"/>
        <v>0</v>
      </c>
      <c r="J678" s="193">
        <v>0</v>
      </c>
      <c r="K678" s="194">
        <f t="shared" si="330"/>
        <v>0</v>
      </c>
      <c r="L678" s="195">
        <v>55</v>
      </c>
      <c r="M678" s="196">
        <f t="shared" si="331"/>
        <v>0</v>
      </c>
      <c r="N678" s="197">
        <f t="shared" si="332"/>
        <v>0</v>
      </c>
      <c r="O678" s="198"/>
      <c r="P678" s="18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</row>
    <row r="679" spans="1:77" s="41" customFormat="1" ht="15.75">
      <c r="A679" s="64">
        <f>IF(F679&lt;&gt;"",1+MAX($A$2:A678),"")</f>
        <v>575</v>
      </c>
      <c r="B679" s="313"/>
      <c r="C679" s="226" t="s">
        <v>552</v>
      </c>
      <c r="D679" s="266">
        <v>76</v>
      </c>
      <c r="E679" s="189">
        <v>0.05</v>
      </c>
      <c r="F679" s="266">
        <f t="shared" si="333"/>
        <v>79.8</v>
      </c>
      <c r="G679" s="190" t="s">
        <v>13</v>
      </c>
      <c r="H679" s="191">
        <v>0</v>
      </c>
      <c r="I679" s="192">
        <f t="shared" si="329"/>
        <v>0</v>
      </c>
      <c r="J679" s="193">
        <v>0</v>
      </c>
      <c r="K679" s="194">
        <f t="shared" si="330"/>
        <v>0</v>
      </c>
      <c r="L679" s="195">
        <v>55</v>
      </c>
      <c r="M679" s="196">
        <f t="shared" si="331"/>
        <v>0</v>
      </c>
      <c r="N679" s="197">
        <f t="shared" si="332"/>
        <v>0</v>
      </c>
      <c r="O679" s="198"/>
      <c r="P679" s="18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</row>
    <row r="680" spans="1:77" s="41" customFormat="1" ht="15.75">
      <c r="A680" s="64">
        <f>IF(F680&lt;&gt;"",1+MAX($A$2:A679),"")</f>
        <v>576</v>
      </c>
      <c r="B680" s="313"/>
      <c r="C680" s="226" t="s">
        <v>553</v>
      </c>
      <c r="D680" s="266">
        <v>38.72</v>
      </c>
      <c r="E680" s="189">
        <v>0.05</v>
      </c>
      <c r="F680" s="266">
        <f t="shared" si="333"/>
        <v>40.655999999999999</v>
      </c>
      <c r="G680" s="190" t="s">
        <v>13</v>
      </c>
      <c r="H680" s="191">
        <v>0</v>
      </c>
      <c r="I680" s="192">
        <f t="shared" si="329"/>
        <v>0</v>
      </c>
      <c r="J680" s="193">
        <v>0</v>
      </c>
      <c r="K680" s="194">
        <f t="shared" si="330"/>
        <v>0</v>
      </c>
      <c r="L680" s="195">
        <v>55</v>
      </c>
      <c r="M680" s="196">
        <f t="shared" si="331"/>
        <v>0</v>
      </c>
      <c r="N680" s="197">
        <f t="shared" si="332"/>
        <v>0</v>
      </c>
      <c r="O680" s="198"/>
      <c r="P680" s="18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</row>
    <row r="681" spans="1:77" s="41" customFormat="1" ht="15.75">
      <c r="A681" s="64">
        <f>IF(F681&lt;&gt;"",1+MAX($A$2:A680),"")</f>
        <v>577</v>
      </c>
      <c r="B681" s="313"/>
      <c r="C681" s="226" t="s">
        <v>554</v>
      </c>
      <c r="D681" s="266">
        <v>2.46</v>
      </c>
      <c r="E681" s="189">
        <v>0.05</v>
      </c>
      <c r="F681" s="266">
        <f t="shared" si="333"/>
        <v>2.5830000000000002</v>
      </c>
      <c r="G681" s="190" t="s">
        <v>13</v>
      </c>
      <c r="H681" s="191">
        <v>0</v>
      </c>
      <c r="I681" s="192">
        <f t="shared" si="329"/>
        <v>0</v>
      </c>
      <c r="J681" s="193">
        <v>0</v>
      </c>
      <c r="K681" s="194">
        <f t="shared" si="330"/>
        <v>0</v>
      </c>
      <c r="L681" s="195">
        <v>55</v>
      </c>
      <c r="M681" s="196">
        <f t="shared" si="331"/>
        <v>0</v>
      </c>
      <c r="N681" s="197">
        <f t="shared" si="332"/>
        <v>0</v>
      </c>
      <c r="O681" s="198"/>
      <c r="P681" s="18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</row>
    <row r="682" spans="1:77" s="41" customFormat="1" ht="15.75">
      <c r="A682" s="64">
        <f>IF(F682&lt;&gt;"",1+MAX($A$2:A681),"")</f>
        <v>578</v>
      </c>
      <c r="B682" s="313"/>
      <c r="C682" s="226" t="s">
        <v>555</v>
      </c>
      <c r="D682" s="266">
        <v>3.31</v>
      </c>
      <c r="E682" s="189">
        <v>0.05</v>
      </c>
      <c r="F682" s="266">
        <f t="shared" si="333"/>
        <v>3.4755000000000003</v>
      </c>
      <c r="G682" s="190" t="s">
        <v>13</v>
      </c>
      <c r="H682" s="191">
        <v>0</v>
      </c>
      <c r="I682" s="192">
        <f t="shared" si="329"/>
        <v>0</v>
      </c>
      <c r="J682" s="193">
        <v>0</v>
      </c>
      <c r="K682" s="194">
        <f t="shared" si="330"/>
        <v>0</v>
      </c>
      <c r="L682" s="195">
        <v>55</v>
      </c>
      <c r="M682" s="196">
        <f t="shared" si="331"/>
        <v>0</v>
      </c>
      <c r="N682" s="197">
        <f t="shared" si="332"/>
        <v>0</v>
      </c>
      <c r="O682" s="198"/>
      <c r="P682" s="18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</row>
    <row r="683" spans="1:77" s="41" customFormat="1" ht="15.75">
      <c r="A683" s="64">
        <f>IF(F683&lt;&gt;"",1+MAX($A$2:A682),"")</f>
        <v>579</v>
      </c>
      <c r="B683" s="313"/>
      <c r="C683" s="226" t="s">
        <v>556</v>
      </c>
      <c r="D683" s="266">
        <v>5.28</v>
      </c>
      <c r="E683" s="189">
        <v>0.05</v>
      </c>
      <c r="F683" s="266">
        <f t="shared" si="333"/>
        <v>5.5440000000000005</v>
      </c>
      <c r="G683" s="190" t="s">
        <v>13</v>
      </c>
      <c r="H683" s="191">
        <v>0</v>
      </c>
      <c r="I683" s="192">
        <f t="shared" si="329"/>
        <v>0</v>
      </c>
      <c r="J683" s="193">
        <v>0</v>
      </c>
      <c r="K683" s="194">
        <f t="shared" si="330"/>
        <v>0</v>
      </c>
      <c r="L683" s="195">
        <v>55</v>
      </c>
      <c r="M683" s="196">
        <f t="shared" si="331"/>
        <v>0</v>
      </c>
      <c r="N683" s="197">
        <f t="shared" si="332"/>
        <v>0</v>
      </c>
      <c r="O683" s="198"/>
      <c r="P683" s="18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</row>
    <row r="684" spans="1:77" s="41" customFormat="1" ht="15.75">
      <c r="A684" s="64">
        <f>IF(F684&lt;&gt;"",1+MAX($A$2:A683),"")</f>
        <v>580</v>
      </c>
      <c r="B684" s="313"/>
      <c r="C684" s="226" t="s">
        <v>557</v>
      </c>
      <c r="D684" s="266">
        <v>30.79</v>
      </c>
      <c r="E684" s="189">
        <v>0.05</v>
      </c>
      <c r="F684" s="266">
        <f t="shared" si="333"/>
        <v>32.329500000000003</v>
      </c>
      <c r="G684" s="190" t="s">
        <v>13</v>
      </c>
      <c r="H684" s="191">
        <v>0</v>
      </c>
      <c r="I684" s="192">
        <f t="shared" si="329"/>
        <v>0</v>
      </c>
      <c r="J684" s="193">
        <v>0</v>
      </c>
      <c r="K684" s="194">
        <f t="shared" si="330"/>
        <v>0</v>
      </c>
      <c r="L684" s="195">
        <v>55</v>
      </c>
      <c r="M684" s="196">
        <f t="shared" si="331"/>
        <v>0</v>
      </c>
      <c r="N684" s="197">
        <f t="shared" si="332"/>
        <v>0</v>
      </c>
      <c r="O684" s="198"/>
      <c r="P684" s="18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</row>
    <row r="685" spans="1:77" s="41" customFormat="1" ht="15.75">
      <c r="A685" s="64">
        <f>IF(F685&lt;&gt;"",1+MAX($A$2:A684),"")</f>
        <v>581</v>
      </c>
      <c r="B685" s="313"/>
      <c r="C685" s="226" t="s">
        <v>558</v>
      </c>
      <c r="D685" s="266">
        <v>13.61</v>
      </c>
      <c r="E685" s="189">
        <v>0.05</v>
      </c>
      <c r="F685" s="266">
        <f>(1+E685)*D685</f>
        <v>14.2905</v>
      </c>
      <c r="G685" s="190" t="s">
        <v>13</v>
      </c>
      <c r="H685" s="191">
        <v>0</v>
      </c>
      <c r="I685" s="192">
        <f t="shared" si="329"/>
        <v>0</v>
      </c>
      <c r="J685" s="193">
        <v>0</v>
      </c>
      <c r="K685" s="194">
        <f t="shared" si="330"/>
        <v>0</v>
      </c>
      <c r="L685" s="195">
        <v>55</v>
      </c>
      <c r="M685" s="196">
        <f t="shared" si="331"/>
        <v>0</v>
      </c>
      <c r="N685" s="197">
        <f t="shared" si="332"/>
        <v>0</v>
      </c>
      <c r="O685" s="198"/>
      <c r="P685" s="18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</row>
    <row r="686" spans="1:77" s="41" customFormat="1" ht="15.75">
      <c r="A686" s="64">
        <f>IF(F686&lt;&gt;"",1+MAX($A$2:A685),"")</f>
        <v>582</v>
      </c>
      <c r="B686" s="313"/>
      <c r="C686" s="226" t="s">
        <v>559</v>
      </c>
      <c r="D686" s="266">
        <v>42</v>
      </c>
      <c r="E686" s="189">
        <v>0.05</v>
      </c>
      <c r="F686" s="266">
        <f t="shared" ref="F686:F691" si="335">(1+E686)*D686</f>
        <v>44.1</v>
      </c>
      <c r="G686" s="190" t="s">
        <v>13</v>
      </c>
      <c r="H686" s="191">
        <v>0</v>
      </c>
      <c r="I686" s="192">
        <f t="shared" si="329"/>
        <v>0</v>
      </c>
      <c r="J686" s="193">
        <v>0</v>
      </c>
      <c r="K686" s="194">
        <f t="shared" si="330"/>
        <v>0</v>
      </c>
      <c r="L686" s="195">
        <v>55</v>
      </c>
      <c r="M686" s="196">
        <f t="shared" si="331"/>
        <v>0</v>
      </c>
      <c r="N686" s="197">
        <f t="shared" si="332"/>
        <v>0</v>
      </c>
      <c r="O686" s="198"/>
      <c r="P686" s="18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</row>
    <row r="687" spans="1:77" s="41" customFormat="1" ht="15.75">
      <c r="A687" s="64">
        <f>IF(F687&lt;&gt;"",1+MAX($A$2:A686),"")</f>
        <v>583</v>
      </c>
      <c r="B687" s="313"/>
      <c r="C687" s="226" t="s">
        <v>560</v>
      </c>
      <c r="D687" s="266">
        <v>628</v>
      </c>
      <c r="E687" s="189">
        <v>0.05</v>
      </c>
      <c r="F687" s="266">
        <f t="shared" si="335"/>
        <v>659.4</v>
      </c>
      <c r="G687" s="190" t="s">
        <v>13</v>
      </c>
      <c r="H687" s="191">
        <v>0</v>
      </c>
      <c r="I687" s="192">
        <f t="shared" si="329"/>
        <v>0</v>
      </c>
      <c r="J687" s="193">
        <v>0</v>
      </c>
      <c r="K687" s="194">
        <f t="shared" si="330"/>
        <v>0</v>
      </c>
      <c r="L687" s="195">
        <v>55</v>
      </c>
      <c r="M687" s="196">
        <f t="shared" si="331"/>
        <v>0</v>
      </c>
      <c r="N687" s="197">
        <f t="shared" si="332"/>
        <v>0</v>
      </c>
      <c r="O687" s="198"/>
      <c r="P687" s="18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</row>
    <row r="688" spans="1:77" s="41" customFormat="1" ht="15.75">
      <c r="A688" s="64">
        <f>IF(F688&lt;&gt;"",1+MAX($A$2:A687),"")</f>
        <v>584</v>
      </c>
      <c r="B688" s="313"/>
      <c r="C688" s="226" t="s">
        <v>561</v>
      </c>
      <c r="D688" s="266">
        <v>182</v>
      </c>
      <c r="E688" s="189">
        <v>0.05</v>
      </c>
      <c r="F688" s="266">
        <f t="shared" si="335"/>
        <v>191.1</v>
      </c>
      <c r="G688" s="190" t="s">
        <v>13</v>
      </c>
      <c r="H688" s="191">
        <v>0</v>
      </c>
      <c r="I688" s="192">
        <f t="shared" si="329"/>
        <v>0</v>
      </c>
      <c r="J688" s="193">
        <v>0</v>
      </c>
      <c r="K688" s="194">
        <f t="shared" si="330"/>
        <v>0</v>
      </c>
      <c r="L688" s="195">
        <v>55</v>
      </c>
      <c r="M688" s="196">
        <f t="shared" si="331"/>
        <v>0</v>
      </c>
      <c r="N688" s="197">
        <f t="shared" si="332"/>
        <v>0</v>
      </c>
      <c r="O688" s="198"/>
      <c r="P688" s="18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</row>
    <row r="689" spans="1:77" s="41" customFormat="1" ht="15.75">
      <c r="A689" s="64">
        <f>IF(F689&lt;&gt;"",1+MAX($A$2:A688),"")</f>
        <v>585</v>
      </c>
      <c r="B689" s="313"/>
      <c r="C689" s="226" t="s">
        <v>562</v>
      </c>
      <c r="D689" s="266">
        <v>3.1</v>
      </c>
      <c r="E689" s="189">
        <v>0.05</v>
      </c>
      <c r="F689" s="266">
        <f t="shared" si="335"/>
        <v>3.2550000000000003</v>
      </c>
      <c r="G689" s="190" t="s">
        <v>13</v>
      </c>
      <c r="H689" s="191">
        <v>0</v>
      </c>
      <c r="I689" s="192">
        <f t="shared" si="329"/>
        <v>0</v>
      </c>
      <c r="J689" s="193">
        <v>0</v>
      </c>
      <c r="K689" s="194">
        <f t="shared" si="330"/>
        <v>0</v>
      </c>
      <c r="L689" s="195">
        <v>55</v>
      </c>
      <c r="M689" s="196">
        <f t="shared" si="331"/>
        <v>0</v>
      </c>
      <c r="N689" s="197">
        <f t="shared" si="332"/>
        <v>0</v>
      </c>
      <c r="O689" s="198"/>
      <c r="P689" s="18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</row>
    <row r="690" spans="1:77" s="41" customFormat="1" ht="15.75">
      <c r="A690" s="64">
        <f>IF(F690&lt;&gt;"",1+MAX($A$2:A689),"")</f>
        <v>586</v>
      </c>
      <c r="B690" s="313"/>
      <c r="C690" s="226" t="s">
        <v>563</v>
      </c>
      <c r="D690" s="266">
        <v>186</v>
      </c>
      <c r="E690" s="189">
        <v>0.05</v>
      </c>
      <c r="F690" s="266">
        <f t="shared" si="335"/>
        <v>195.3</v>
      </c>
      <c r="G690" s="190" t="s">
        <v>13</v>
      </c>
      <c r="H690" s="191">
        <v>0</v>
      </c>
      <c r="I690" s="192">
        <f t="shared" si="329"/>
        <v>0</v>
      </c>
      <c r="J690" s="193">
        <v>0</v>
      </c>
      <c r="K690" s="194">
        <f t="shared" si="330"/>
        <v>0</v>
      </c>
      <c r="L690" s="195">
        <v>55</v>
      </c>
      <c r="M690" s="196">
        <f t="shared" si="331"/>
        <v>0</v>
      </c>
      <c r="N690" s="197">
        <f t="shared" si="332"/>
        <v>0</v>
      </c>
      <c r="O690" s="198"/>
      <c r="P690" s="18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</row>
    <row r="691" spans="1:77" s="41" customFormat="1" ht="15.75">
      <c r="A691" s="64">
        <f>IF(F691&lt;&gt;"",1+MAX($A$2:A690),"")</f>
        <v>587</v>
      </c>
      <c r="B691" s="313"/>
      <c r="C691" s="226" t="s">
        <v>564</v>
      </c>
      <c r="D691" s="266">
        <v>69</v>
      </c>
      <c r="E691" s="189">
        <v>0.05</v>
      </c>
      <c r="F691" s="266">
        <f t="shared" si="335"/>
        <v>72.45</v>
      </c>
      <c r="G691" s="190" t="s">
        <v>13</v>
      </c>
      <c r="H691" s="191">
        <v>0</v>
      </c>
      <c r="I691" s="192">
        <f t="shared" si="329"/>
        <v>0</v>
      </c>
      <c r="J691" s="193">
        <v>0</v>
      </c>
      <c r="K691" s="194">
        <f t="shared" si="330"/>
        <v>0</v>
      </c>
      <c r="L691" s="195">
        <v>55</v>
      </c>
      <c r="M691" s="196">
        <f t="shared" si="331"/>
        <v>0</v>
      </c>
      <c r="N691" s="197">
        <f t="shared" si="332"/>
        <v>0</v>
      </c>
      <c r="O691" s="198"/>
      <c r="P691" s="18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</row>
    <row r="692" spans="1:77" s="41" customFormat="1" ht="15.75">
      <c r="A692" s="64" t="str">
        <f>IF(F692&lt;&gt;"",1+MAX($A$2:A691),"")</f>
        <v/>
      </c>
      <c r="B692" s="313"/>
      <c r="C692" s="252" t="s">
        <v>565</v>
      </c>
      <c r="D692" s="267"/>
      <c r="E692" s="268"/>
      <c r="F692" s="267"/>
      <c r="G692" s="269"/>
      <c r="H692" s="191"/>
      <c r="I692" s="192"/>
      <c r="J692" s="193"/>
      <c r="K692" s="194"/>
      <c r="L692" s="195"/>
      <c r="M692" s="196"/>
      <c r="N692" s="197"/>
      <c r="O692" s="198"/>
      <c r="P692" s="18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</row>
    <row r="693" spans="1:77" s="41" customFormat="1" ht="15.75">
      <c r="A693" s="64">
        <f>IF(F693&lt;&gt;"",1+MAX($A$2:A692),"")</f>
        <v>588</v>
      </c>
      <c r="B693" s="313"/>
      <c r="C693" s="262" t="s">
        <v>566</v>
      </c>
      <c r="D693" s="267">
        <v>1</v>
      </c>
      <c r="E693" s="268">
        <v>0</v>
      </c>
      <c r="F693" s="267">
        <f t="shared" ref="F693:F771" si="336">(1+E693)*D693</f>
        <v>1</v>
      </c>
      <c r="G693" s="269" t="s">
        <v>14</v>
      </c>
      <c r="H693" s="191">
        <v>0</v>
      </c>
      <c r="I693" s="192">
        <f t="shared" ref="I693:I771" si="337">H693*F693</f>
        <v>0</v>
      </c>
      <c r="J693" s="193">
        <v>0</v>
      </c>
      <c r="K693" s="194">
        <f t="shared" ref="K693:K771" si="338">J693*F693</f>
        <v>0</v>
      </c>
      <c r="L693" s="195">
        <v>55</v>
      </c>
      <c r="M693" s="196">
        <f t="shared" ref="M693:M771" si="339">L693*K693</f>
        <v>0</v>
      </c>
      <c r="N693" s="197">
        <f t="shared" ref="N693:N771" si="340">M693+I693</f>
        <v>0</v>
      </c>
      <c r="O693" s="198"/>
      <c r="P693" s="18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</row>
    <row r="694" spans="1:77" s="41" customFormat="1" ht="15.75">
      <c r="A694" s="64">
        <f>IF(F694&lt;&gt;"",1+MAX($A$2:A693),"")</f>
        <v>589</v>
      </c>
      <c r="B694" s="313"/>
      <c r="C694" s="262" t="s">
        <v>567</v>
      </c>
      <c r="D694" s="267">
        <v>2</v>
      </c>
      <c r="E694" s="268">
        <v>0</v>
      </c>
      <c r="F694" s="267">
        <f t="shared" si="336"/>
        <v>2</v>
      </c>
      <c r="G694" s="269" t="s">
        <v>14</v>
      </c>
      <c r="H694" s="191">
        <v>0</v>
      </c>
      <c r="I694" s="192">
        <f t="shared" si="337"/>
        <v>0</v>
      </c>
      <c r="J694" s="193">
        <v>0</v>
      </c>
      <c r="K694" s="194">
        <f t="shared" si="338"/>
        <v>0</v>
      </c>
      <c r="L694" s="195">
        <v>55</v>
      </c>
      <c r="M694" s="196">
        <f t="shared" si="339"/>
        <v>0</v>
      </c>
      <c r="N694" s="197">
        <f t="shared" si="340"/>
        <v>0</v>
      </c>
      <c r="O694" s="198"/>
      <c r="P694" s="18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</row>
    <row r="695" spans="1:77" s="41" customFormat="1" ht="15.75">
      <c r="A695" s="64">
        <f>IF(F695&lt;&gt;"",1+MAX($A$2:A694),"")</f>
        <v>590</v>
      </c>
      <c r="B695" s="313"/>
      <c r="C695" s="262" t="s">
        <v>568</v>
      </c>
      <c r="D695" s="267">
        <v>2</v>
      </c>
      <c r="E695" s="268">
        <v>0</v>
      </c>
      <c r="F695" s="267">
        <f t="shared" si="336"/>
        <v>2</v>
      </c>
      <c r="G695" s="269" t="s">
        <v>14</v>
      </c>
      <c r="H695" s="191">
        <v>0</v>
      </c>
      <c r="I695" s="192">
        <f t="shared" si="337"/>
        <v>0</v>
      </c>
      <c r="J695" s="193">
        <v>0</v>
      </c>
      <c r="K695" s="194">
        <f t="shared" si="338"/>
        <v>0</v>
      </c>
      <c r="L695" s="195">
        <v>55</v>
      </c>
      <c r="M695" s="196">
        <f t="shared" si="339"/>
        <v>0</v>
      </c>
      <c r="N695" s="197">
        <f t="shared" si="340"/>
        <v>0</v>
      </c>
      <c r="O695" s="198"/>
      <c r="P695" s="18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</row>
    <row r="696" spans="1:77" s="41" customFormat="1" ht="31.5">
      <c r="A696" s="64">
        <f>IF(F696&lt;&gt;"",1+MAX($A$2:A695),"")</f>
        <v>591</v>
      </c>
      <c r="B696" s="313"/>
      <c r="C696" s="262" t="s">
        <v>569</v>
      </c>
      <c r="D696" s="267">
        <v>1</v>
      </c>
      <c r="E696" s="268">
        <v>0</v>
      </c>
      <c r="F696" s="267">
        <f t="shared" si="336"/>
        <v>1</v>
      </c>
      <c r="G696" s="269" t="s">
        <v>14</v>
      </c>
      <c r="H696" s="191">
        <v>0</v>
      </c>
      <c r="I696" s="192">
        <f t="shared" si="337"/>
        <v>0</v>
      </c>
      <c r="J696" s="193">
        <v>0</v>
      </c>
      <c r="K696" s="194">
        <f t="shared" si="338"/>
        <v>0</v>
      </c>
      <c r="L696" s="195">
        <v>55</v>
      </c>
      <c r="M696" s="196">
        <f t="shared" si="339"/>
        <v>0</v>
      </c>
      <c r="N696" s="197">
        <f t="shared" si="340"/>
        <v>0</v>
      </c>
      <c r="O696" s="198"/>
      <c r="P696" s="18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</row>
    <row r="697" spans="1:77" s="41" customFormat="1" ht="31.5">
      <c r="A697" s="64">
        <f>IF(F697&lt;&gt;"",1+MAX($A$2:A696),"")</f>
        <v>592</v>
      </c>
      <c r="B697" s="313"/>
      <c r="C697" s="262" t="s">
        <v>570</v>
      </c>
      <c r="D697" s="267">
        <v>2</v>
      </c>
      <c r="E697" s="268">
        <v>0</v>
      </c>
      <c r="F697" s="267">
        <f t="shared" si="336"/>
        <v>2</v>
      </c>
      <c r="G697" s="269" t="s">
        <v>14</v>
      </c>
      <c r="H697" s="191">
        <v>0</v>
      </c>
      <c r="I697" s="192">
        <f t="shared" si="337"/>
        <v>0</v>
      </c>
      <c r="J697" s="193">
        <v>0</v>
      </c>
      <c r="K697" s="194">
        <f t="shared" si="338"/>
        <v>0</v>
      </c>
      <c r="L697" s="195">
        <v>55</v>
      </c>
      <c r="M697" s="196">
        <f t="shared" si="339"/>
        <v>0</v>
      </c>
      <c r="N697" s="197">
        <f t="shared" si="340"/>
        <v>0</v>
      </c>
      <c r="O697" s="198"/>
      <c r="P697" s="18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</row>
    <row r="698" spans="1:77" s="41" customFormat="1" ht="15.75">
      <c r="A698" s="64">
        <f>IF(F698&lt;&gt;"",1+MAX($A$2:A697),"")</f>
        <v>593</v>
      </c>
      <c r="B698" s="313"/>
      <c r="C698" s="262" t="s">
        <v>571</v>
      </c>
      <c r="D698" s="267">
        <v>32</v>
      </c>
      <c r="E698" s="268">
        <v>0</v>
      </c>
      <c r="F698" s="267">
        <f t="shared" si="336"/>
        <v>32</v>
      </c>
      <c r="G698" s="269" t="s">
        <v>14</v>
      </c>
      <c r="H698" s="191">
        <v>0</v>
      </c>
      <c r="I698" s="192">
        <f t="shared" si="337"/>
        <v>0</v>
      </c>
      <c r="J698" s="193">
        <v>0</v>
      </c>
      <c r="K698" s="194">
        <f t="shared" si="338"/>
        <v>0</v>
      </c>
      <c r="L698" s="195">
        <v>55</v>
      </c>
      <c r="M698" s="196">
        <f t="shared" si="339"/>
        <v>0</v>
      </c>
      <c r="N698" s="197">
        <f t="shared" si="340"/>
        <v>0</v>
      </c>
      <c r="O698" s="198"/>
      <c r="P698" s="18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</row>
    <row r="699" spans="1:77" s="41" customFormat="1" ht="31.5">
      <c r="A699" s="64">
        <f>IF(F699&lt;&gt;"",1+MAX($A$2:A698),"")</f>
        <v>594</v>
      </c>
      <c r="B699" s="313"/>
      <c r="C699" s="262" t="s">
        <v>572</v>
      </c>
      <c r="D699" s="267">
        <v>1</v>
      </c>
      <c r="E699" s="268">
        <v>0</v>
      </c>
      <c r="F699" s="267">
        <f t="shared" si="336"/>
        <v>1</v>
      </c>
      <c r="G699" s="269" t="s">
        <v>14</v>
      </c>
      <c r="H699" s="191">
        <v>0</v>
      </c>
      <c r="I699" s="192">
        <f t="shared" si="337"/>
        <v>0</v>
      </c>
      <c r="J699" s="193">
        <v>0</v>
      </c>
      <c r="K699" s="194">
        <f t="shared" si="338"/>
        <v>0</v>
      </c>
      <c r="L699" s="195">
        <v>55</v>
      </c>
      <c r="M699" s="196">
        <f t="shared" si="339"/>
        <v>0</v>
      </c>
      <c r="N699" s="197">
        <f t="shared" si="340"/>
        <v>0</v>
      </c>
      <c r="O699" s="198"/>
      <c r="P699" s="18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</row>
    <row r="700" spans="1:77" s="41" customFormat="1" ht="31.5">
      <c r="A700" s="64">
        <f>IF(F700&lt;&gt;"",1+MAX($A$2:A699),"")</f>
        <v>595</v>
      </c>
      <c r="B700" s="313"/>
      <c r="C700" s="262" t="s">
        <v>573</v>
      </c>
      <c r="D700" s="267">
        <v>2</v>
      </c>
      <c r="E700" s="268">
        <v>0</v>
      </c>
      <c r="F700" s="267">
        <f t="shared" si="336"/>
        <v>2</v>
      </c>
      <c r="G700" s="269" t="s">
        <v>14</v>
      </c>
      <c r="H700" s="191">
        <v>0</v>
      </c>
      <c r="I700" s="192">
        <f t="shared" si="337"/>
        <v>0</v>
      </c>
      <c r="J700" s="193">
        <v>0</v>
      </c>
      <c r="K700" s="194">
        <f t="shared" si="338"/>
        <v>0</v>
      </c>
      <c r="L700" s="195">
        <v>55</v>
      </c>
      <c r="M700" s="196">
        <f t="shared" si="339"/>
        <v>0</v>
      </c>
      <c r="N700" s="197">
        <f t="shared" si="340"/>
        <v>0</v>
      </c>
      <c r="O700" s="198"/>
      <c r="P700" s="18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</row>
    <row r="701" spans="1:77" s="41" customFormat="1" ht="15.75">
      <c r="A701" s="64">
        <f>IF(F701&lt;&gt;"",1+MAX($A$2:A700),"")</f>
        <v>596</v>
      </c>
      <c r="B701" s="313"/>
      <c r="C701" s="262" t="s">
        <v>574</v>
      </c>
      <c r="D701" s="267">
        <v>3</v>
      </c>
      <c r="E701" s="268">
        <v>0</v>
      </c>
      <c r="F701" s="267">
        <f t="shared" si="336"/>
        <v>3</v>
      </c>
      <c r="G701" s="269" t="s">
        <v>14</v>
      </c>
      <c r="H701" s="191">
        <v>0</v>
      </c>
      <c r="I701" s="192">
        <f t="shared" si="337"/>
        <v>0</v>
      </c>
      <c r="J701" s="193">
        <v>0</v>
      </c>
      <c r="K701" s="194">
        <f t="shared" si="338"/>
        <v>0</v>
      </c>
      <c r="L701" s="195">
        <v>55</v>
      </c>
      <c r="M701" s="196">
        <f t="shared" si="339"/>
        <v>0</v>
      </c>
      <c r="N701" s="197">
        <f t="shared" si="340"/>
        <v>0</v>
      </c>
      <c r="O701" s="198"/>
      <c r="P701" s="18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</row>
    <row r="702" spans="1:77" s="41" customFormat="1" ht="31.5">
      <c r="A702" s="64">
        <f>IF(F702&lt;&gt;"",1+MAX($A$2:A701),"")</f>
        <v>597</v>
      </c>
      <c r="B702" s="313"/>
      <c r="C702" s="262" t="s">
        <v>575</v>
      </c>
      <c r="D702" s="267">
        <v>8</v>
      </c>
      <c r="E702" s="268">
        <v>0</v>
      </c>
      <c r="F702" s="267">
        <f t="shared" si="336"/>
        <v>8</v>
      </c>
      <c r="G702" s="269" t="s">
        <v>14</v>
      </c>
      <c r="H702" s="191">
        <v>0</v>
      </c>
      <c r="I702" s="192">
        <f t="shared" si="337"/>
        <v>0</v>
      </c>
      <c r="J702" s="193">
        <v>0</v>
      </c>
      <c r="K702" s="194">
        <f t="shared" si="338"/>
        <v>0</v>
      </c>
      <c r="L702" s="195">
        <v>55</v>
      </c>
      <c r="M702" s="196">
        <f t="shared" si="339"/>
        <v>0</v>
      </c>
      <c r="N702" s="197">
        <f t="shared" si="340"/>
        <v>0</v>
      </c>
      <c r="O702" s="198"/>
      <c r="P702" s="18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</row>
    <row r="703" spans="1:77" s="41" customFormat="1" ht="15.75">
      <c r="A703" s="64">
        <f>IF(F703&lt;&gt;"",1+MAX($A$2:A702),"")</f>
        <v>598</v>
      </c>
      <c r="B703" s="313"/>
      <c r="C703" s="262" t="s">
        <v>576</v>
      </c>
      <c r="D703" s="267">
        <v>1</v>
      </c>
      <c r="E703" s="268">
        <v>0</v>
      </c>
      <c r="F703" s="267">
        <f t="shared" si="336"/>
        <v>1</v>
      </c>
      <c r="G703" s="269" t="s">
        <v>14</v>
      </c>
      <c r="H703" s="191">
        <v>0</v>
      </c>
      <c r="I703" s="192">
        <f t="shared" si="337"/>
        <v>0</v>
      </c>
      <c r="J703" s="193">
        <v>0</v>
      </c>
      <c r="K703" s="194">
        <f t="shared" si="338"/>
        <v>0</v>
      </c>
      <c r="L703" s="195">
        <v>55</v>
      </c>
      <c r="M703" s="196">
        <f t="shared" si="339"/>
        <v>0</v>
      </c>
      <c r="N703" s="197">
        <f t="shared" si="340"/>
        <v>0</v>
      </c>
      <c r="O703" s="198"/>
      <c r="P703" s="18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</row>
    <row r="704" spans="1:77" s="41" customFormat="1" ht="31.5">
      <c r="A704" s="64">
        <f>IF(F704&lt;&gt;"",1+MAX($A$2:A703),"")</f>
        <v>599</v>
      </c>
      <c r="B704" s="313"/>
      <c r="C704" s="262" t="s">
        <v>577</v>
      </c>
      <c r="D704" s="267">
        <v>1</v>
      </c>
      <c r="E704" s="268">
        <v>0</v>
      </c>
      <c r="F704" s="267">
        <f t="shared" si="336"/>
        <v>1</v>
      </c>
      <c r="G704" s="269" t="s">
        <v>14</v>
      </c>
      <c r="H704" s="191">
        <v>0</v>
      </c>
      <c r="I704" s="192">
        <f t="shared" si="337"/>
        <v>0</v>
      </c>
      <c r="J704" s="193">
        <v>0</v>
      </c>
      <c r="K704" s="194">
        <f t="shared" si="338"/>
        <v>0</v>
      </c>
      <c r="L704" s="195">
        <v>55</v>
      </c>
      <c r="M704" s="196">
        <f t="shared" si="339"/>
        <v>0</v>
      </c>
      <c r="N704" s="197">
        <f t="shared" si="340"/>
        <v>0</v>
      </c>
      <c r="O704" s="198"/>
      <c r="P704" s="18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</row>
    <row r="705" spans="1:77" s="41" customFormat="1" ht="31.5">
      <c r="A705" s="64">
        <f>IF(F705&lt;&gt;"",1+MAX($A$2:A704),"")</f>
        <v>600</v>
      </c>
      <c r="B705" s="313"/>
      <c r="C705" s="262" t="s">
        <v>578</v>
      </c>
      <c r="D705" s="267">
        <v>6</v>
      </c>
      <c r="E705" s="268">
        <v>0</v>
      </c>
      <c r="F705" s="267">
        <f t="shared" si="336"/>
        <v>6</v>
      </c>
      <c r="G705" s="269" t="s">
        <v>14</v>
      </c>
      <c r="H705" s="191">
        <v>0</v>
      </c>
      <c r="I705" s="192">
        <f t="shared" si="337"/>
        <v>0</v>
      </c>
      <c r="J705" s="193">
        <v>0</v>
      </c>
      <c r="K705" s="194">
        <f t="shared" si="338"/>
        <v>0</v>
      </c>
      <c r="L705" s="195">
        <v>55</v>
      </c>
      <c r="M705" s="196">
        <f t="shared" si="339"/>
        <v>0</v>
      </c>
      <c r="N705" s="197">
        <f t="shared" si="340"/>
        <v>0</v>
      </c>
      <c r="O705" s="198"/>
      <c r="P705" s="18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</row>
    <row r="706" spans="1:77" s="41" customFormat="1" ht="31.5">
      <c r="A706" s="64">
        <f>IF(F706&lt;&gt;"",1+MAX($A$2:A705),"")</f>
        <v>601</v>
      </c>
      <c r="B706" s="313"/>
      <c r="C706" s="262" t="s">
        <v>579</v>
      </c>
      <c r="D706" s="267">
        <v>1</v>
      </c>
      <c r="E706" s="268">
        <v>0</v>
      </c>
      <c r="F706" s="267">
        <f t="shared" si="336"/>
        <v>1</v>
      </c>
      <c r="G706" s="269" t="s">
        <v>14</v>
      </c>
      <c r="H706" s="191">
        <v>0</v>
      </c>
      <c r="I706" s="192">
        <f t="shared" si="337"/>
        <v>0</v>
      </c>
      <c r="J706" s="193">
        <v>0</v>
      </c>
      <c r="K706" s="194">
        <f t="shared" si="338"/>
        <v>0</v>
      </c>
      <c r="L706" s="195">
        <v>55</v>
      </c>
      <c r="M706" s="196">
        <f t="shared" si="339"/>
        <v>0</v>
      </c>
      <c r="N706" s="197">
        <f t="shared" si="340"/>
        <v>0</v>
      </c>
      <c r="O706" s="198"/>
      <c r="P706" s="18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</row>
    <row r="707" spans="1:77" s="41" customFormat="1" ht="31.5">
      <c r="A707" s="64">
        <f>IF(F707&lt;&gt;"",1+MAX($A$2:A706),"")</f>
        <v>602</v>
      </c>
      <c r="B707" s="313"/>
      <c r="C707" s="262" t="s">
        <v>580</v>
      </c>
      <c r="D707" s="267">
        <v>1</v>
      </c>
      <c r="E707" s="268">
        <v>0</v>
      </c>
      <c r="F707" s="267">
        <f t="shared" si="336"/>
        <v>1</v>
      </c>
      <c r="G707" s="269" t="s">
        <v>14</v>
      </c>
      <c r="H707" s="191">
        <v>0</v>
      </c>
      <c r="I707" s="192">
        <f t="shared" si="337"/>
        <v>0</v>
      </c>
      <c r="J707" s="193">
        <v>0</v>
      </c>
      <c r="K707" s="194">
        <f t="shared" si="338"/>
        <v>0</v>
      </c>
      <c r="L707" s="195">
        <v>55</v>
      </c>
      <c r="M707" s="196">
        <f t="shared" si="339"/>
        <v>0</v>
      </c>
      <c r="N707" s="197">
        <f t="shared" si="340"/>
        <v>0</v>
      </c>
      <c r="O707" s="198"/>
      <c r="P707" s="18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</row>
    <row r="708" spans="1:77" s="41" customFormat="1" ht="31.5">
      <c r="A708" s="64">
        <f>IF(F708&lt;&gt;"",1+MAX($A$2:A707),"")</f>
        <v>603</v>
      </c>
      <c r="B708" s="313"/>
      <c r="C708" s="262" t="s">
        <v>581</v>
      </c>
      <c r="D708" s="267">
        <v>4</v>
      </c>
      <c r="E708" s="268">
        <v>0</v>
      </c>
      <c r="F708" s="267">
        <f t="shared" si="336"/>
        <v>4</v>
      </c>
      <c r="G708" s="269" t="s">
        <v>14</v>
      </c>
      <c r="H708" s="191">
        <v>0</v>
      </c>
      <c r="I708" s="192">
        <f t="shared" si="337"/>
        <v>0</v>
      </c>
      <c r="J708" s="193">
        <v>0</v>
      </c>
      <c r="K708" s="194">
        <f t="shared" si="338"/>
        <v>0</v>
      </c>
      <c r="L708" s="195">
        <v>55</v>
      </c>
      <c r="M708" s="196">
        <f t="shared" si="339"/>
        <v>0</v>
      </c>
      <c r="N708" s="197">
        <f t="shared" si="340"/>
        <v>0</v>
      </c>
      <c r="O708" s="198"/>
      <c r="P708" s="18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</row>
    <row r="709" spans="1:77" s="41" customFormat="1" ht="31.5">
      <c r="A709" s="64">
        <f>IF(F709&lt;&gt;"",1+MAX($A$2:A708),"")</f>
        <v>604</v>
      </c>
      <c r="B709" s="313"/>
      <c r="C709" s="262" t="s">
        <v>582</v>
      </c>
      <c r="D709" s="267">
        <v>4</v>
      </c>
      <c r="E709" s="268">
        <v>0</v>
      </c>
      <c r="F709" s="267">
        <f t="shared" si="336"/>
        <v>4</v>
      </c>
      <c r="G709" s="269" t="s">
        <v>14</v>
      </c>
      <c r="H709" s="191">
        <v>0</v>
      </c>
      <c r="I709" s="192">
        <f t="shared" si="337"/>
        <v>0</v>
      </c>
      <c r="J709" s="193">
        <v>0</v>
      </c>
      <c r="K709" s="194">
        <f t="shared" si="338"/>
        <v>0</v>
      </c>
      <c r="L709" s="195">
        <v>55</v>
      </c>
      <c r="M709" s="196">
        <f t="shared" si="339"/>
        <v>0</v>
      </c>
      <c r="N709" s="197">
        <f t="shared" si="340"/>
        <v>0</v>
      </c>
      <c r="O709" s="198"/>
      <c r="P709" s="18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</row>
    <row r="710" spans="1:77" s="41" customFormat="1" ht="31.5">
      <c r="A710" s="64">
        <f>IF(F710&lt;&gt;"",1+MAX($A$2:A709),"")</f>
        <v>605</v>
      </c>
      <c r="B710" s="313"/>
      <c r="C710" s="262" t="s">
        <v>583</v>
      </c>
      <c r="D710" s="267">
        <v>1</v>
      </c>
      <c r="E710" s="268">
        <v>0</v>
      </c>
      <c r="F710" s="267">
        <f t="shared" si="336"/>
        <v>1</v>
      </c>
      <c r="G710" s="269" t="s">
        <v>14</v>
      </c>
      <c r="H710" s="191">
        <v>0</v>
      </c>
      <c r="I710" s="192">
        <f t="shared" si="337"/>
        <v>0</v>
      </c>
      <c r="J710" s="193">
        <v>0</v>
      </c>
      <c r="K710" s="194">
        <f t="shared" si="338"/>
        <v>0</v>
      </c>
      <c r="L710" s="195">
        <v>55</v>
      </c>
      <c r="M710" s="196">
        <f t="shared" si="339"/>
        <v>0</v>
      </c>
      <c r="N710" s="197">
        <f t="shared" si="340"/>
        <v>0</v>
      </c>
      <c r="O710" s="198"/>
      <c r="P710" s="18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</row>
    <row r="711" spans="1:77" s="41" customFormat="1" ht="31.5">
      <c r="A711" s="64">
        <f>IF(F711&lt;&gt;"",1+MAX($A$2:A710),"")</f>
        <v>606</v>
      </c>
      <c r="B711" s="313"/>
      <c r="C711" s="262" t="s">
        <v>584</v>
      </c>
      <c r="D711" s="267">
        <v>1</v>
      </c>
      <c r="E711" s="268">
        <v>0</v>
      </c>
      <c r="F711" s="267">
        <f t="shared" si="336"/>
        <v>1</v>
      </c>
      <c r="G711" s="269" t="s">
        <v>14</v>
      </c>
      <c r="H711" s="191">
        <v>0</v>
      </c>
      <c r="I711" s="192">
        <f t="shared" si="337"/>
        <v>0</v>
      </c>
      <c r="J711" s="193">
        <v>0</v>
      </c>
      <c r="K711" s="194">
        <f t="shared" si="338"/>
        <v>0</v>
      </c>
      <c r="L711" s="195">
        <v>55</v>
      </c>
      <c r="M711" s="196">
        <f t="shared" si="339"/>
        <v>0</v>
      </c>
      <c r="N711" s="197">
        <f t="shared" si="340"/>
        <v>0</v>
      </c>
      <c r="O711" s="198"/>
      <c r="P711" s="18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</row>
    <row r="712" spans="1:77" s="41" customFormat="1" ht="15.75">
      <c r="A712" s="64">
        <f>IF(F712&lt;&gt;"",1+MAX($A$2:A711),"")</f>
        <v>607</v>
      </c>
      <c r="B712" s="313"/>
      <c r="C712" s="262" t="s">
        <v>585</v>
      </c>
      <c r="D712" s="267">
        <v>1</v>
      </c>
      <c r="E712" s="268">
        <v>0</v>
      </c>
      <c r="F712" s="267">
        <f t="shared" si="336"/>
        <v>1</v>
      </c>
      <c r="G712" s="269" t="s">
        <v>14</v>
      </c>
      <c r="H712" s="191">
        <v>0</v>
      </c>
      <c r="I712" s="192">
        <f t="shared" si="337"/>
        <v>0</v>
      </c>
      <c r="J712" s="193">
        <v>0</v>
      </c>
      <c r="K712" s="194">
        <f t="shared" si="338"/>
        <v>0</v>
      </c>
      <c r="L712" s="195">
        <v>55</v>
      </c>
      <c r="M712" s="196">
        <f t="shared" si="339"/>
        <v>0</v>
      </c>
      <c r="N712" s="197">
        <f t="shared" si="340"/>
        <v>0</v>
      </c>
      <c r="O712" s="198"/>
      <c r="P712" s="18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</row>
    <row r="713" spans="1:77" s="41" customFormat="1" ht="15.75">
      <c r="A713" s="64">
        <f>IF(F713&lt;&gt;"",1+MAX($A$2:A712),"")</f>
        <v>608</v>
      </c>
      <c r="B713" s="313"/>
      <c r="C713" s="262" t="s">
        <v>586</v>
      </c>
      <c r="D713" s="267">
        <v>2</v>
      </c>
      <c r="E713" s="268">
        <v>0</v>
      </c>
      <c r="F713" s="267">
        <f t="shared" si="336"/>
        <v>2</v>
      </c>
      <c r="G713" s="269" t="s">
        <v>14</v>
      </c>
      <c r="H713" s="191">
        <v>0</v>
      </c>
      <c r="I713" s="192">
        <f t="shared" si="337"/>
        <v>0</v>
      </c>
      <c r="J713" s="193">
        <v>0</v>
      </c>
      <c r="K713" s="194">
        <f t="shared" si="338"/>
        <v>0</v>
      </c>
      <c r="L713" s="195">
        <v>55</v>
      </c>
      <c r="M713" s="196">
        <f t="shared" si="339"/>
        <v>0</v>
      </c>
      <c r="N713" s="197">
        <f t="shared" si="340"/>
        <v>0</v>
      </c>
      <c r="O713" s="198"/>
      <c r="P713" s="18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</row>
    <row r="714" spans="1:77" s="41" customFormat="1" ht="15.75">
      <c r="A714" s="64">
        <f>IF(F714&lt;&gt;"",1+MAX($A$2:A713),"")</f>
        <v>609</v>
      </c>
      <c r="B714" s="313"/>
      <c r="C714" s="262" t="s">
        <v>587</v>
      </c>
      <c r="D714" s="267">
        <v>1</v>
      </c>
      <c r="E714" s="268">
        <v>0</v>
      </c>
      <c r="F714" s="267">
        <f t="shared" si="336"/>
        <v>1</v>
      </c>
      <c r="G714" s="269" t="s">
        <v>14</v>
      </c>
      <c r="H714" s="191">
        <v>0</v>
      </c>
      <c r="I714" s="192">
        <f t="shared" si="337"/>
        <v>0</v>
      </c>
      <c r="J714" s="193">
        <v>0</v>
      </c>
      <c r="K714" s="194">
        <f t="shared" si="338"/>
        <v>0</v>
      </c>
      <c r="L714" s="195">
        <v>55</v>
      </c>
      <c r="M714" s="196">
        <f t="shared" si="339"/>
        <v>0</v>
      </c>
      <c r="N714" s="197">
        <f t="shared" si="340"/>
        <v>0</v>
      </c>
      <c r="O714" s="198"/>
      <c r="P714" s="18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</row>
    <row r="715" spans="1:77" s="41" customFormat="1" ht="31.5">
      <c r="A715" s="64">
        <f>IF(F715&lt;&gt;"",1+MAX($A$2:A714),"")</f>
        <v>610</v>
      </c>
      <c r="B715" s="313"/>
      <c r="C715" s="262" t="s">
        <v>588</v>
      </c>
      <c r="D715" s="267">
        <v>1</v>
      </c>
      <c r="E715" s="268">
        <v>0</v>
      </c>
      <c r="F715" s="267">
        <f t="shared" si="336"/>
        <v>1</v>
      </c>
      <c r="G715" s="269" t="s">
        <v>14</v>
      </c>
      <c r="H715" s="191">
        <v>0</v>
      </c>
      <c r="I715" s="192">
        <f t="shared" si="337"/>
        <v>0</v>
      </c>
      <c r="J715" s="193">
        <v>0</v>
      </c>
      <c r="K715" s="194">
        <f t="shared" si="338"/>
        <v>0</v>
      </c>
      <c r="L715" s="195">
        <v>55</v>
      </c>
      <c r="M715" s="196">
        <f t="shared" si="339"/>
        <v>0</v>
      </c>
      <c r="N715" s="197">
        <f t="shared" si="340"/>
        <v>0</v>
      </c>
      <c r="O715" s="198"/>
      <c r="P715" s="18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</row>
    <row r="716" spans="1:77" s="41" customFormat="1" ht="31.5">
      <c r="A716" s="64">
        <f>IF(F716&lt;&gt;"",1+MAX($A$2:A715),"")</f>
        <v>611</v>
      </c>
      <c r="B716" s="313"/>
      <c r="C716" s="262" t="s">
        <v>589</v>
      </c>
      <c r="D716" s="267">
        <v>1</v>
      </c>
      <c r="E716" s="268">
        <v>0</v>
      </c>
      <c r="F716" s="267">
        <f t="shared" si="336"/>
        <v>1</v>
      </c>
      <c r="G716" s="269" t="s">
        <v>14</v>
      </c>
      <c r="H716" s="191">
        <v>0</v>
      </c>
      <c r="I716" s="192">
        <f t="shared" si="337"/>
        <v>0</v>
      </c>
      <c r="J716" s="193">
        <v>0</v>
      </c>
      <c r="K716" s="194">
        <f t="shared" si="338"/>
        <v>0</v>
      </c>
      <c r="L716" s="195">
        <v>55</v>
      </c>
      <c r="M716" s="196">
        <f t="shared" si="339"/>
        <v>0</v>
      </c>
      <c r="N716" s="197">
        <f t="shared" si="340"/>
        <v>0</v>
      </c>
      <c r="O716" s="198"/>
      <c r="P716" s="18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</row>
    <row r="717" spans="1:77" s="41" customFormat="1" ht="31.5">
      <c r="A717" s="64">
        <f>IF(F717&lt;&gt;"",1+MAX($A$2:A716),"")</f>
        <v>612</v>
      </c>
      <c r="B717" s="313"/>
      <c r="C717" s="262" t="s">
        <v>590</v>
      </c>
      <c r="D717" s="267">
        <v>1</v>
      </c>
      <c r="E717" s="268">
        <v>0</v>
      </c>
      <c r="F717" s="267">
        <f t="shared" si="336"/>
        <v>1</v>
      </c>
      <c r="G717" s="269" t="s">
        <v>14</v>
      </c>
      <c r="H717" s="191">
        <v>0</v>
      </c>
      <c r="I717" s="192">
        <f t="shared" si="337"/>
        <v>0</v>
      </c>
      <c r="J717" s="193">
        <v>0</v>
      </c>
      <c r="K717" s="194">
        <f t="shared" si="338"/>
        <v>0</v>
      </c>
      <c r="L717" s="195">
        <v>55</v>
      </c>
      <c r="M717" s="196">
        <f t="shared" si="339"/>
        <v>0</v>
      </c>
      <c r="N717" s="197">
        <f t="shared" si="340"/>
        <v>0</v>
      </c>
      <c r="O717" s="198"/>
      <c r="P717" s="18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</row>
    <row r="718" spans="1:77" s="41" customFormat="1" ht="31.5">
      <c r="A718" s="64">
        <f>IF(F718&lt;&gt;"",1+MAX($A$2:A717),"")</f>
        <v>613</v>
      </c>
      <c r="B718" s="313"/>
      <c r="C718" s="262" t="s">
        <v>591</v>
      </c>
      <c r="D718" s="267">
        <v>1</v>
      </c>
      <c r="E718" s="268">
        <v>0</v>
      </c>
      <c r="F718" s="267">
        <f t="shared" si="336"/>
        <v>1</v>
      </c>
      <c r="G718" s="269" t="s">
        <v>14</v>
      </c>
      <c r="H718" s="191">
        <v>0</v>
      </c>
      <c r="I718" s="192">
        <f t="shared" si="337"/>
        <v>0</v>
      </c>
      <c r="J718" s="193">
        <v>0</v>
      </c>
      <c r="K718" s="194">
        <f t="shared" si="338"/>
        <v>0</v>
      </c>
      <c r="L718" s="195">
        <v>55</v>
      </c>
      <c r="M718" s="196">
        <f t="shared" si="339"/>
        <v>0</v>
      </c>
      <c r="N718" s="197">
        <f t="shared" si="340"/>
        <v>0</v>
      </c>
      <c r="O718" s="198"/>
      <c r="P718" s="18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</row>
    <row r="719" spans="1:77" s="41" customFormat="1" ht="31.5">
      <c r="A719" s="64">
        <f>IF(F719&lt;&gt;"",1+MAX($A$2:A718),"")</f>
        <v>614</v>
      </c>
      <c r="B719" s="313"/>
      <c r="C719" s="262" t="s">
        <v>592</v>
      </c>
      <c r="D719" s="267">
        <v>1</v>
      </c>
      <c r="E719" s="268">
        <v>0</v>
      </c>
      <c r="F719" s="267">
        <f t="shared" si="336"/>
        <v>1</v>
      </c>
      <c r="G719" s="269" t="s">
        <v>14</v>
      </c>
      <c r="H719" s="191">
        <v>0</v>
      </c>
      <c r="I719" s="192">
        <f t="shared" si="337"/>
        <v>0</v>
      </c>
      <c r="J719" s="193">
        <v>0</v>
      </c>
      <c r="K719" s="194">
        <f t="shared" si="338"/>
        <v>0</v>
      </c>
      <c r="L719" s="195">
        <v>55</v>
      </c>
      <c r="M719" s="196">
        <f t="shared" si="339"/>
        <v>0</v>
      </c>
      <c r="N719" s="197">
        <f t="shared" si="340"/>
        <v>0</v>
      </c>
      <c r="O719" s="198"/>
      <c r="P719" s="18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</row>
    <row r="720" spans="1:77" s="41" customFormat="1" ht="31.5">
      <c r="A720" s="64">
        <f>IF(F720&lt;&gt;"",1+MAX($A$2:A719),"")</f>
        <v>615</v>
      </c>
      <c r="B720" s="313"/>
      <c r="C720" s="262" t="s">
        <v>593</v>
      </c>
      <c r="D720" s="267">
        <v>1</v>
      </c>
      <c r="E720" s="268">
        <v>0</v>
      </c>
      <c r="F720" s="267">
        <f t="shared" si="336"/>
        <v>1</v>
      </c>
      <c r="G720" s="269" t="s">
        <v>14</v>
      </c>
      <c r="H720" s="191">
        <v>0</v>
      </c>
      <c r="I720" s="192">
        <f t="shared" si="337"/>
        <v>0</v>
      </c>
      <c r="J720" s="193">
        <v>0</v>
      </c>
      <c r="K720" s="194">
        <f t="shared" si="338"/>
        <v>0</v>
      </c>
      <c r="L720" s="195">
        <v>55</v>
      </c>
      <c r="M720" s="196">
        <f t="shared" si="339"/>
        <v>0</v>
      </c>
      <c r="N720" s="197">
        <f t="shared" si="340"/>
        <v>0</v>
      </c>
      <c r="O720" s="198"/>
      <c r="P720" s="18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</row>
    <row r="721" spans="1:77" s="41" customFormat="1" ht="31.5">
      <c r="A721" s="64">
        <f>IF(F721&lt;&gt;"",1+MAX($A$2:A720),"")</f>
        <v>616</v>
      </c>
      <c r="B721" s="313"/>
      <c r="C721" s="262" t="s">
        <v>594</v>
      </c>
      <c r="D721" s="267">
        <v>1</v>
      </c>
      <c r="E721" s="268">
        <v>0</v>
      </c>
      <c r="F721" s="267">
        <f t="shared" si="336"/>
        <v>1</v>
      </c>
      <c r="G721" s="269" t="s">
        <v>14</v>
      </c>
      <c r="H721" s="191">
        <v>0</v>
      </c>
      <c r="I721" s="192">
        <f t="shared" si="337"/>
        <v>0</v>
      </c>
      <c r="J721" s="193">
        <v>0</v>
      </c>
      <c r="K721" s="194">
        <f t="shared" si="338"/>
        <v>0</v>
      </c>
      <c r="L721" s="195">
        <v>55</v>
      </c>
      <c r="M721" s="196">
        <f t="shared" si="339"/>
        <v>0</v>
      </c>
      <c r="N721" s="197">
        <f t="shared" si="340"/>
        <v>0</v>
      </c>
      <c r="O721" s="198"/>
      <c r="P721" s="18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</row>
    <row r="722" spans="1:77" s="41" customFormat="1" ht="31.5">
      <c r="A722" s="64">
        <f>IF(F722&lt;&gt;"",1+MAX($A$2:A721),"")</f>
        <v>617</v>
      </c>
      <c r="B722" s="313"/>
      <c r="C722" s="262" t="s">
        <v>595</v>
      </c>
      <c r="D722" s="267">
        <v>1</v>
      </c>
      <c r="E722" s="268">
        <v>0</v>
      </c>
      <c r="F722" s="267">
        <f t="shared" si="336"/>
        <v>1</v>
      </c>
      <c r="G722" s="269" t="s">
        <v>14</v>
      </c>
      <c r="H722" s="191">
        <v>0</v>
      </c>
      <c r="I722" s="192">
        <f t="shared" si="337"/>
        <v>0</v>
      </c>
      <c r="J722" s="193">
        <v>0</v>
      </c>
      <c r="K722" s="194">
        <f t="shared" si="338"/>
        <v>0</v>
      </c>
      <c r="L722" s="195">
        <v>55</v>
      </c>
      <c r="M722" s="196">
        <f t="shared" si="339"/>
        <v>0</v>
      </c>
      <c r="N722" s="197">
        <f t="shared" si="340"/>
        <v>0</v>
      </c>
      <c r="O722" s="198"/>
      <c r="P722" s="18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</row>
    <row r="723" spans="1:77" s="41" customFormat="1" ht="31.5">
      <c r="A723" s="64">
        <f>IF(F723&lt;&gt;"",1+MAX($A$2:A722),"")</f>
        <v>618</v>
      </c>
      <c r="B723" s="313"/>
      <c r="C723" s="262" t="s">
        <v>596</v>
      </c>
      <c r="D723" s="267">
        <v>1</v>
      </c>
      <c r="E723" s="268">
        <v>0</v>
      </c>
      <c r="F723" s="267">
        <f t="shared" si="336"/>
        <v>1</v>
      </c>
      <c r="G723" s="269" t="s">
        <v>14</v>
      </c>
      <c r="H723" s="191">
        <v>0</v>
      </c>
      <c r="I723" s="192">
        <f t="shared" si="337"/>
        <v>0</v>
      </c>
      <c r="J723" s="193">
        <v>0</v>
      </c>
      <c r="K723" s="194">
        <f t="shared" si="338"/>
        <v>0</v>
      </c>
      <c r="L723" s="195">
        <v>55</v>
      </c>
      <c r="M723" s="196">
        <f t="shared" si="339"/>
        <v>0</v>
      </c>
      <c r="N723" s="197">
        <f t="shared" si="340"/>
        <v>0</v>
      </c>
      <c r="O723" s="198"/>
      <c r="P723" s="18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</row>
    <row r="724" spans="1:77" s="41" customFormat="1" ht="31.5">
      <c r="A724" s="64">
        <f>IF(F724&lt;&gt;"",1+MAX($A$2:A723),"")</f>
        <v>619</v>
      </c>
      <c r="B724" s="313"/>
      <c r="C724" s="262" t="s">
        <v>597</v>
      </c>
      <c r="D724" s="267">
        <v>2</v>
      </c>
      <c r="E724" s="268">
        <v>0</v>
      </c>
      <c r="F724" s="267">
        <f t="shared" si="336"/>
        <v>2</v>
      </c>
      <c r="G724" s="269" t="s">
        <v>14</v>
      </c>
      <c r="H724" s="191">
        <v>0</v>
      </c>
      <c r="I724" s="192">
        <f t="shared" si="337"/>
        <v>0</v>
      </c>
      <c r="J724" s="193">
        <v>0</v>
      </c>
      <c r="K724" s="194">
        <f t="shared" si="338"/>
        <v>0</v>
      </c>
      <c r="L724" s="195">
        <v>55</v>
      </c>
      <c r="M724" s="196">
        <f t="shared" si="339"/>
        <v>0</v>
      </c>
      <c r="N724" s="197">
        <f t="shared" si="340"/>
        <v>0</v>
      </c>
      <c r="O724" s="198"/>
      <c r="P724" s="18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</row>
    <row r="725" spans="1:77" s="41" customFormat="1" ht="31.5">
      <c r="A725" s="64">
        <f>IF(F725&lt;&gt;"",1+MAX($A$2:A724),"")</f>
        <v>620</v>
      </c>
      <c r="B725" s="313"/>
      <c r="C725" s="262" t="s">
        <v>598</v>
      </c>
      <c r="D725" s="267">
        <v>8</v>
      </c>
      <c r="E725" s="268">
        <v>0</v>
      </c>
      <c r="F725" s="267">
        <f t="shared" si="336"/>
        <v>8</v>
      </c>
      <c r="G725" s="269" t="s">
        <v>14</v>
      </c>
      <c r="H725" s="191">
        <v>0</v>
      </c>
      <c r="I725" s="192">
        <f t="shared" si="337"/>
        <v>0</v>
      </c>
      <c r="J725" s="193">
        <v>0</v>
      </c>
      <c r="K725" s="194">
        <f t="shared" si="338"/>
        <v>0</v>
      </c>
      <c r="L725" s="195">
        <v>55</v>
      </c>
      <c r="M725" s="196">
        <f t="shared" si="339"/>
        <v>0</v>
      </c>
      <c r="N725" s="197">
        <f t="shared" si="340"/>
        <v>0</v>
      </c>
      <c r="O725" s="198"/>
      <c r="P725" s="18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</row>
    <row r="726" spans="1:77" s="41" customFormat="1" ht="31.5">
      <c r="A726" s="64">
        <f>IF(F726&lt;&gt;"",1+MAX($A$2:A725),"")</f>
        <v>621</v>
      </c>
      <c r="B726" s="313"/>
      <c r="C726" s="262" t="s">
        <v>599</v>
      </c>
      <c r="D726" s="267">
        <v>4</v>
      </c>
      <c r="E726" s="268">
        <v>0</v>
      </c>
      <c r="F726" s="267">
        <f t="shared" si="336"/>
        <v>4</v>
      </c>
      <c r="G726" s="269" t="s">
        <v>14</v>
      </c>
      <c r="H726" s="191">
        <v>0</v>
      </c>
      <c r="I726" s="192">
        <f t="shared" si="337"/>
        <v>0</v>
      </c>
      <c r="J726" s="193">
        <v>0</v>
      </c>
      <c r="K726" s="194">
        <f t="shared" si="338"/>
        <v>0</v>
      </c>
      <c r="L726" s="195">
        <v>55</v>
      </c>
      <c r="M726" s="196">
        <f t="shared" si="339"/>
        <v>0</v>
      </c>
      <c r="N726" s="197">
        <f t="shared" si="340"/>
        <v>0</v>
      </c>
      <c r="O726" s="198"/>
      <c r="P726" s="18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</row>
    <row r="727" spans="1:77" s="41" customFormat="1" ht="31.5">
      <c r="A727" s="64">
        <f>IF(F727&lt;&gt;"",1+MAX($A$2:A726),"")</f>
        <v>622</v>
      </c>
      <c r="B727" s="313"/>
      <c r="C727" s="262" t="s">
        <v>600</v>
      </c>
      <c r="D727" s="267">
        <v>1</v>
      </c>
      <c r="E727" s="268">
        <v>0</v>
      </c>
      <c r="F727" s="267">
        <f t="shared" si="336"/>
        <v>1</v>
      </c>
      <c r="G727" s="269" t="s">
        <v>14</v>
      </c>
      <c r="H727" s="191">
        <v>0</v>
      </c>
      <c r="I727" s="192">
        <f t="shared" si="337"/>
        <v>0</v>
      </c>
      <c r="J727" s="193">
        <v>0</v>
      </c>
      <c r="K727" s="194">
        <f t="shared" si="338"/>
        <v>0</v>
      </c>
      <c r="L727" s="195">
        <v>55</v>
      </c>
      <c r="M727" s="196">
        <f t="shared" si="339"/>
        <v>0</v>
      </c>
      <c r="N727" s="197">
        <f t="shared" si="340"/>
        <v>0</v>
      </c>
      <c r="O727" s="198"/>
      <c r="P727" s="18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</row>
    <row r="728" spans="1:77" s="41" customFormat="1" ht="31.5">
      <c r="A728" s="64">
        <f>IF(F728&lt;&gt;"",1+MAX($A$2:A727),"")</f>
        <v>623</v>
      </c>
      <c r="B728" s="313"/>
      <c r="C728" s="262" t="s">
        <v>601</v>
      </c>
      <c r="D728" s="267">
        <v>2</v>
      </c>
      <c r="E728" s="268">
        <v>0</v>
      </c>
      <c r="F728" s="267">
        <f t="shared" si="336"/>
        <v>2</v>
      </c>
      <c r="G728" s="269" t="s">
        <v>14</v>
      </c>
      <c r="H728" s="191">
        <v>0</v>
      </c>
      <c r="I728" s="192">
        <f t="shared" si="337"/>
        <v>0</v>
      </c>
      <c r="J728" s="193">
        <v>0</v>
      </c>
      <c r="K728" s="194">
        <f t="shared" si="338"/>
        <v>0</v>
      </c>
      <c r="L728" s="195">
        <v>55</v>
      </c>
      <c r="M728" s="196">
        <f t="shared" si="339"/>
        <v>0</v>
      </c>
      <c r="N728" s="197">
        <f t="shared" si="340"/>
        <v>0</v>
      </c>
      <c r="O728" s="198"/>
      <c r="P728" s="18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</row>
    <row r="729" spans="1:77" s="41" customFormat="1" ht="31.5">
      <c r="A729" s="64">
        <f>IF(F729&lt;&gt;"",1+MAX($A$2:A728),"")</f>
        <v>624</v>
      </c>
      <c r="B729" s="313"/>
      <c r="C729" s="262" t="s">
        <v>602</v>
      </c>
      <c r="D729" s="267">
        <v>8</v>
      </c>
      <c r="E729" s="268">
        <v>0</v>
      </c>
      <c r="F729" s="267">
        <f t="shared" si="336"/>
        <v>8</v>
      </c>
      <c r="G729" s="269" t="s">
        <v>14</v>
      </c>
      <c r="H729" s="191">
        <v>0</v>
      </c>
      <c r="I729" s="192">
        <f t="shared" si="337"/>
        <v>0</v>
      </c>
      <c r="J729" s="193">
        <v>0</v>
      </c>
      <c r="K729" s="194">
        <f t="shared" si="338"/>
        <v>0</v>
      </c>
      <c r="L729" s="195">
        <v>55</v>
      </c>
      <c r="M729" s="196">
        <f t="shared" si="339"/>
        <v>0</v>
      </c>
      <c r="N729" s="197">
        <f t="shared" si="340"/>
        <v>0</v>
      </c>
      <c r="O729" s="198"/>
      <c r="P729" s="18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</row>
    <row r="730" spans="1:77" s="41" customFormat="1" ht="31.5">
      <c r="A730" s="64">
        <f>IF(F730&lt;&gt;"",1+MAX($A$2:A729),"")</f>
        <v>625</v>
      </c>
      <c r="B730" s="313"/>
      <c r="C730" s="262" t="s">
        <v>603</v>
      </c>
      <c r="D730" s="267">
        <v>1</v>
      </c>
      <c r="E730" s="268">
        <v>0</v>
      </c>
      <c r="F730" s="267">
        <f t="shared" si="336"/>
        <v>1</v>
      </c>
      <c r="G730" s="269" t="s">
        <v>14</v>
      </c>
      <c r="H730" s="191">
        <v>0</v>
      </c>
      <c r="I730" s="192">
        <f t="shared" si="337"/>
        <v>0</v>
      </c>
      <c r="J730" s="193">
        <v>0</v>
      </c>
      <c r="K730" s="194">
        <f t="shared" si="338"/>
        <v>0</v>
      </c>
      <c r="L730" s="195">
        <v>55</v>
      </c>
      <c r="M730" s="196">
        <f t="shared" si="339"/>
        <v>0</v>
      </c>
      <c r="N730" s="197">
        <f t="shared" si="340"/>
        <v>0</v>
      </c>
      <c r="O730" s="198"/>
      <c r="P730" s="18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</row>
    <row r="731" spans="1:77" s="41" customFormat="1" ht="31.5">
      <c r="A731" s="64">
        <f>IF(F731&lt;&gt;"",1+MAX($A$2:A730),"")</f>
        <v>626</v>
      </c>
      <c r="B731" s="313"/>
      <c r="C731" s="262" t="s">
        <v>604</v>
      </c>
      <c r="D731" s="267">
        <v>2</v>
      </c>
      <c r="E731" s="268">
        <v>0</v>
      </c>
      <c r="F731" s="267">
        <f t="shared" si="336"/>
        <v>2</v>
      </c>
      <c r="G731" s="269" t="s">
        <v>14</v>
      </c>
      <c r="H731" s="191">
        <v>0</v>
      </c>
      <c r="I731" s="192">
        <f t="shared" si="337"/>
        <v>0</v>
      </c>
      <c r="J731" s="193">
        <v>0</v>
      </c>
      <c r="K731" s="194">
        <f t="shared" si="338"/>
        <v>0</v>
      </c>
      <c r="L731" s="195">
        <v>55</v>
      </c>
      <c r="M731" s="196">
        <f t="shared" si="339"/>
        <v>0</v>
      </c>
      <c r="N731" s="197">
        <f t="shared" si="340"/>
        <v>0</v>
      </c>
      <c r="O731" s="198"/>
      <c r="P731" s="18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</row>
    <row r="732" spans="1:77" s="41" customFormat="1" ht="31.5">
      <c r="A732" s="64">
        <f>IF(F732&lt;&gt;"",1+MAX($A$2:A731),"")</f>
        <v>627</v>
      </c>
      <c r="B732" s="313"/>
      <c r="C732" s="262" t="s">
        <v>605</v>
      </c>
      <c r="D732" s="267">
        <v>1</v>
      </c>
      <c r="E732" s="268">
        <v>0</v>
      </c>
      <c r="F732" s="267">
        <f t="shared" si="336"/>
        <v>1</v>
      </c>
      <c r="G732" s="269" t="s">
        <v>14</v>
      </c>
      <c r="H732" s="191">
        <v>0</v>
      </c>
      <c r="I732" s="192">
        <f t="shared" si="337"/>
        <v>0</v>
      </c>
      <c r="J732" s="193">
        <v>0</v>
      </c>
      <c r="K732" s="194">
        <f t="shared" si="338"/>
        <v>0</v>
      </c>
      <c r="L732" s="195">
        <v>55</v>
      </c>
      <c r="M732" s="196">
        <f t="shared" si="339"/>
        <v>0</v>
      </c>
      <c r="N732" s="197">
        <f t="shared" si="340"/>
        <v>0</v>
      </c>
      <c r="O732" s="198"/>
      <c r="P732" s="18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</row>
    <row r="733" spans="1:77" s="41" customFormat="1" ht="31.5">
      <c r="A733" s="64">
        <f>IF(F733&lt;&gt;"",1+MAX($A$2:A732),"")</f>
        <v>628</v>
      </c>
      <c r="B733" s="313"/>
      <c r="C733" s="262" t="s">
        <v>606</v>
      </c>
      <c r="D733" s="267">
        <v>1</v>
      </c>
      <c r="E733" s="268">
        <v>0</v>
      </c>
      <c r="F733" s="267">
        <f t="shared" si="336"/>
        <v>1</v>
      </c>
      <c r="G733" s="269" t="s">
        <v>14</v>
      </c>
      <c r="H733" s="191">
        <v>0</v>
      </c>
      <c r="I733" s="192">
        <f t="shared" si="337"/>
        <v>0</v>
      </c>
      <c r="J733" s="193">
        <v>0</v>
      </c>
      <c r="K733" s="194">
        <f t="shared" si="338"/>
        <v>0</v>
      </c>
      <c r="L733" s="195">
        <v>55</v>
      </c>
      <c r="M733" s="196">
        <f t="shared" si="339"/>
        <v>0</v>
      </c>
      <c r="N733" s="197">
        <f t="shared" si="340"/>
        <v>0</v>
      </c>
      <c r="O733" s="198"/>
      <c r="P733" s="18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</row>
    <row r="734" spans="1:77" s="41" customFormat="1" ht="31.5">
      <c r="A734" s="64">
        <f>IF(F734&lt;&gt;"",1+MAX($A$2:A733),"")</f>
        <v>629</v>
      </c>
      <c r="B734" s="313"/>
      <c r="C734" s="262" t="s">
        <v>607</v>
      </c>
      <c r="D734" s="267">
        <v>1</v>
      </c>
      <c r="E734" s="268">
        <v>0</v>
      </c>
      <c r="F734" s="267">
        <f t="shared" si="336"/>
        <v>1</v>
      </c>
      <c r="G734" s="269" t="s">
        <v>14</v>
      </c>
      <c r="H734" s="191">
        <v>0</v>
      </c>
      <c r="I734" s="192">
        <f t="shared" si="337"/>
        <v>0</v>
      </c>
      <c r="J734" s="193">
        <v>0</v>
      </c>
      <c r="K734" s="194">
        <f t="shared" si="338"/>
        <v>0</v>
      </c>
      <c r="L734" s="195">
        <v>55</v>
      </c>
      <c r="M734" s="196">
        <f t="shared" si="339"/>
        <v>0</v>
      </c>
      <c r="N734" s="197">
        <f t="shared" si="340"/>
        <v>0</v>
      </c>
      <c r="O734" s="198"/>
      <c r="P734" s="18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</row>
    <row r="735" spans="1:77" s="41" customFormat="1" ht="31.5">
      <c r="A735" s="64">
        <f>IF(F735&lt;&gt;"",1+MAX($A$2:A734),"")</f>
        <v>630</v>
      </c>
      <c r="B735" s="313"/>
      <c r="C735" s="262" t="s">
        <v>608</v>
      </c>
      <c r="D735" s="267">
        <v>1</v>
      </c>
      <c r="E735" s="268">
        <v>0</v>
      </c>
      <c r="F735" s="267">
        <f t="shared" si="336"/>
        <v>1</v>
      </c>
      <c r="G735" s="269" t="s">
        <v>14</v>
      </c>
      <c r="H735" s="191">
        <v>0</v>
      </c>
      <c r="I735" s="192">
        <f t="shared" si="337"/>
        <v>0</v>
      </c>
      <c r="J735" s="193">
        <v>0</v>
      </c>
      <c r="K735" s="194">
        <f t="shared" si="338"/>
        <v>0</v>
      </c>
      <c r="L735" s="195">
        <v>55</v>
      </c>
      <c r="M735" s="196">
        <f t="shared" si="339"/>
        <v>0</v>
      </c>
      <c r="N735" s="197">
        <f t="shared" si="340"/>
        <v>0</v>
      </c>
      <c r="O735" s="198"/>
      <c r="P735" s="18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</row>
    <row r="736" spans="1:77" s="41" customFormat="1" ht="31.5">
      <c r="A736" s="64">
        <f>IF(F736&lt;&gt;"",1+MAX($A$2:A735),"")</f>
        <v>631</v>
      </c>
      <c r="B736" s="313"/>
      <c r="C736" s="262" t="s">
        <v>609</v>
      </c>
      <c r="D736" s="267">
        <v>4</v>
      </c>
      <c r="E736" s="268">
        <v>0</v>
      </c>
      <c r="F736" s="267">
        <f t="shared" si="336"/>
        <v>4</v>
      </c>
      <c r="G736" s="269" t="s">
        <v>14</v>
      </c>
      <c r="H736" s="191">
        <v>0</v>
      </c>
      <c r="I736" s="192">
        <f t="shared" si="337"/>
        <v>0</v>
      </c>
      <c r="J736" s="193">
        <v>0</v>
      </c>
      <c r="K736" s="194">
        <f t="shared" si="338"/>
        <v>0</v>
      </c>
      <c r="L736" s="195">
        <v>55</v>
      </c>
      <c r="M736" s="196">
        <f t="shared" si="339"/>
        <v>0</v>
      </c>
      <c r="N736" s="197">
        <f t="shared" si="340"/>
        <v>0</v>
      </c>
      <c r="O736" s="198"/>
      <c r="P736" s="18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</row>
    <row r="737" spans="1:77" s="41" customFormat="1" ht="31.5">
      <c r="A737" s="64">
        <f>IF(F737&lt;&gt;"",1+MAX($A$2:A736),"")</f>
        <v>632</v>
      </c>
      <c r="B737" s="313"/>
      <c r="C737" s="262" t="s">
        <v>610</v>
      </c>
      <c r="D737" s="267">
        <v>9</v>
      </c>
      <c r="E737" s="268">
        <v>0</v>
      </c>
      <c r="F737" s="267">
        <f t="shared" si="336"/>
        <v>9</v>
      </c>
      <c r="G737" s="269" t="s">
        <v>14</v>
      </c>
      <c r="H737" s="191">
        <v>0</v>
      </c>
      <c r="I737" s="192">
        <f t="shared" si="337"/>
        <v>0</v>
      </c>
      <c r="J737" s="193">
        <v>0</v>
      </c>
      <c r="K737" s="194">
        <f t="shared" si="338"/>
        <v>0</v>
      </c>
      <c r="L737" s="195">
        <v>55</v>
      </c>
      <c r="M737" s="196">
        <f t="shared" si="339"/>
        <v>0</v>
      </c>
      <c r="N737" s="197">
        <f t="shared" si="340"/>
        <v>0</v>
      </c>
      <c r="O737" s="198"/>
      <c r="P737" s="18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</row>
    <row r="738" spans="1:77" s="41" customFormat="1" ht="31.5">
      <c r="A738" s="64">
        <f>IF(F738&lt;&gt;"",1+MAX($A$2:A737),"")</f>
        <v>633</v>
      </c>
      <c r="B738" s="313"/>
      <c r="C738" s="262" t="s">
        <v>611</v>
      </c>
      <c r="D738" s="267">
        <v>2</v>
      </c>
      <c r="E738" s="268">
        <v>0</v>
      </c>
      <c r="F738" s="267">
        <f t="shared" si="336"/>
        <v>2</v>
      </c>
      <c r="G738" s="269" t="s">
        <v>14</v>
      </c>
      <c r="H738" s="191">
        <v>0</v>
      </c>
      <c r="I738" s="192">
        <f t="shared" si="337"/>
        <v>0</v>
      </c>
      <c r="J738" s="193">
        <v>0</v>
      </c>
      <c r="K738" s="194">
        <f t="shared" si="338"/>
        <v>0</v>
      </c>
      <c r="L738" s="195">
        <v>55</v>
      </c>
      <c r="M738" s="196">
        <f t="shared" si="339"/>
        <v>0</v>
      </c>
      <c r="N738" s="197">
        <f t="shared" si="340"/>
        <v>0</v>
      </c>
      <c r="O738" s="198"/>
      <c r="P738" s="18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</row>
    <row r="739" spans="1:77" s="41" customFormat="1" ht="31.5">
      <c r="A739" s="64">
        <f>IF(F739&lt;&gt;"",1+MAX($A$2:A738),"")</f>
        <v>634</v>
      </c>
      <c r="B739" s="313"/>
      <c r="C739" s="262" t="s">
        <v>612</v>
      </c>
      <c r="D739" s="267">
        <v>4</v>
      </c>
      <c r="E739" s="268">
        <v>0</v>
      </c>
      <c r="F739" s="267">
        <f t="shared" si="336"/>
        <v>4</v>
      </c>
      <c r="G739" s="269" t="s">
        <v>14</v>
      </c>
      <c r="H739" s="191">
        <v>0</v>
      </c>
      <c r="I739" s="192">
        <f t="shared" si="337"/>
        <v>0</v>
      </c>
      <c r="J739" s="193">
        <v>0</v>
      </c>
      <c r="K739" s="194">
        <f t="shared" si="338"/>
        <v>0</v>
      </c>
      <c r="L739" s="195">
        <v>55</v>
      </c>
      <c r="M739" s="196">
        <f t="shared" si="339"/>
        <v>0</v>
      </c>
      <c r="N739" s="197">
        <f t="shared" si="340"/>
        <v>0</v>
      </c>
      <c r="O739" s="198"/>
      <c r="P739" s="18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</row>
    <row r="740" spans="1:77" s="41" customFormat="1" ht="31.5">
      <c r="A740" s="64">
        <f>IF(F740&lt;&gt;"",1+MAX($A$2:A739),"")</f>
        <v>635</v>
      </c>
      <c r="B740" s="313"/>
      <c r="C740" s="262" t="s">
        <v>613</v>
      </c>
      <c r="D740" s="267">
        <v>1</v>
      </c>
      <c r="E740" s="268">
        <v>0</v>
      </c>
      <c r="F740" s="267">
        <f t="shared" si="336"/>
        <v>1</v>
      </c>
      <c r="G740" s="269" t="s">
        <v>14</v>
      </c>
      <c r="H740" s="191">
        <v>0</v>
      </c>
      <c r="I740" s="192">
        <f t="shared" si="337"/>
        <v>0</v>
      </c>
      <c r="J740" s="193">
        <v>0</v>
      </c>
      <c r="K740" s="194">
        <f t="shared" si="338"/>
        <v>0</v>
      </c>
      <c r="L740" s="195">
        <v>55</v>
      </c>
      <c r="M740" s="196">
        <f t="shared" si="339"/>
        <v>0</v>
      </c>
      <c r="N740" s="197">
        <f t="shared" si="340"/>
        <v>0</v>
      </c>
      <c r="O740" s="198"/>
      <c r="P740" s="18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</row>
    <row r="741" spans="1:77" s="41" customFormat="1" ht="31.5">
      <c r="A741" s="64">
        <f>IF(F741&lt;&gt;"",1+MAX($A$2:A740),"")</f>
        <v>636</v>
      </c>
      <c r="B741" s="313"/>
      <c r="C741" s="262" t="s">
        <v>614</v>
      </c>
      <c r="D741" s="267">
        <v>1</v>
      </c>
      <c r="E741" s="268">
        <v>0</v>
      </c>
      <c r="F741" s="267">
        <f t="shared" si="336"/>
        <v>1</v>
      </c>
      <c r="G741" s="269" t="s">
        <v>14</v>
      </c>
      <c r="H741" s="191">
        <v>0</v>
      </c>
      <c r="I741" s="192">
        <f t="shared" si="337"/>
        <v>0</v>
      </c>
      <c r="J741" s="193">
        <v>0</v>
      </c>
      <c r="K741" s="194">
        <f t="shared" si="338"/>
        <v>0</v>
      </c>
      <c r="L741" s="195">
        <v>55</v>
      </c>
      <c r="M741" s="196">
        <f t="shared" si="339"/>
        <v>0</v>
      </c>
      <c r="N741" s="197">
        <f t="shared" si="340"/>
        <v>0</v>
      </c>
      <c r="O741" s="198"/>
      <c r="P741" s="18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</row>
    <row r="742" spans="1:77" s="41" customFormat="1" ht="31.5">
      <c r="A742" s="64">
        <f>IF(F742&lt;&gt;"",1+MAX($A$2:A741),"")</f>
        <v>637</v>
      </c>
      <c r="B742" s="313"/>
      <c r="C742" s="262" t="s">
        <v>615</v>
      </c>
      <c r="D742" s="267">
        <v>1</v>
      </c>
      <c r="E742" s="268">
        <v>0</v>
      </c>
      <c r="F742" s="267">
        <f t="shared" si="336"/>
        <v>1</v>
      </c>
      <c r="G742" s="269" t="s">
        <v>14</v>
      </c>
      <c r="H742" s="191">
        <v>0</v>
      </c>
      <c r="I742" s="192">
        <f t="shared" si="337"/>
        <v>0</v>
      </c>
      <c r="J742" s="193">
        <v>0</v>
      </c>
      <c r="K742" s="194">
        <f t="shared" si="338"/>
        <v>0</v>
      </c>
      <c r="L742" s="195">
        <v>55</v>
      </c>
      <c r="M742" s="196">
        <f t="shared" si="339"/>
        <v>0</v>
      </c>
      <c r="N742" s="197">
        <f t="shared" si="340"/>
        <v>0</v>
      </c>
      <c r="O742" s="198"/>
      <c r="P742" s="18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</row>
    <row r="743" spans="1:77" s="41" customFormat="1" ht="31.5">
      <c r="A743" s="64">
        <f>IF(F743&lt;&gt;"",1+MAX($A$2:A742),"")</f>
        <v>638</v>
      </c>
      <c r="B743" s="313"/>
      <c r="C743" s="262" t="s">
        <v>616</v>
      </c>
      <c r="D743" s="267">
        <v>1</v>
      </c>
      <c r="E743" s="268">
        <v>0</v>
      </c>
      <c r="F743" s="267">
        <f t="shared" si="336"/>
        <v>1</v>
      </c>
      <c r="G743" s="269" t="s">
        <v>14</v>
      </c>
      <c r="H743" s="191">
        <v>0</v>
      </c>
      <c r="I743" s="192">
        <f t="shared" si="337"/>
        <v>0</v>
      </c>
      <c r="J743" s="193">
        <v>0</v>
      </c>
      <c r="K743" s="194">
        <f t="shared" si="338"/>
        <v>0</v>
      </c>
      <c r="L743" s="195">
        <v>55</v>
      </c>
      <c r="M743" s="196">
        <f t="shared" si="339"/>
        <v>0</v>
      </c>
      <c r="N743" s="197">
        <f t="shared" si="340"/>
        <v>0</v>
      </c>
      <c r="O743" s="198"/>
      <c r="P743" s="18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</row>
    <row r="744" spans="1:77" s="41" customFormat="1" ht="31.5">
      <c r="A744" s="64">
        <f>IF(F744&lt;&gt;"",1+MAX($A$2:A743),"")</f>
        <v>639</v>
      </c>
      <c r="B744" s="313"/>
      <c r="C744" s="262" t="s">
        <v>617</v>
      </c>
      <c r="D744" s="267">
        <v>8</v>
      </c>
      <c r="E744" s="268">
        <v>0</v>
      </c>
      <c r="F744" s="267">
        <f t="shared" si="336"/>
        <v>8</v>
      </c>
      <c r="G744" s="269" t="s">
        <v>14</v>
      </c>
      <c r="H744" s="191">
        <v>0</v>
      </c>
      <c r="I744" s="192">
        <f t="shared" si="337"/>
        <v>0</v>
      </c>
      <c r="J744" s="193">
        <v>0</v>
      </c>
      <c r="K744" s="194">
        <f t="shared" si="338"/>
        <v>0</v>
      </c>
      <c r="L744" s="195">
        <v>55</v>
      </c>
      <c r="M744" s="196">
        <f t="shared" si="339"/>
        <v>0</v>
      </c>
      <c r="N744" s="197">
        <f t="shared" si="340"/>
        <v>0</v>
      </c>
      <c r="O744" s="198"/>
      <c r="P744" s="18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</row>
    <row r="745" spans="1:77" s="41" customFormat="1" ht="31.5">
      <c r="A745" s="64">
        <f>IF(F745&lt;&gt;"",1+MAX($A$2:A744),"")</f>
        <v>640</v>
      </c>
      <c r="B745" s="313"/>
      <c r="C745" s="262" t="s">
        <v>618</v>
      </c>
      <c r="D745" s="267">
        <v>9</v>
      </c>
      <c r="E745" s="268">
        <v>0</v>
      </c>
      <c r="F745" s="267">
        <f t="shared" si="336"/>
        <v>9</v>
      </c>
      <c r="G745" s="269" t="s">
        <v>14</v>
      </c>
      <c r="H745" s="191">
        <v>0</v>
      </c>
      <c r="I745" s="192">
        <f t="shared" si="337"/>
        <v>0</v>
      </c>
      <c r="J745" s="193">
        <v>0</v>
      </c>
      <c r="K745" s="194">
        <f t="shared" si="338"/>
        <v>0</v>
      </c>
      <c r="L745" s="195">
        <v>55</v>
      </c>
      <c r="M745" s="196">
        <f t="shared" si="339"/>
        <v>0</v>
      </c>
      <c r="N745" s="197">
        <f t="shared" si="340"/>
        <v>0</v>
      </c>
      <c r="O745" s="198"/>
      <c r="P745" s="18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</row>
    <row r="746" spans="1:77" s="41" customFormat="1" ht="31.5">
      <c r="A746" s="64">
        <f>IF(F746&lt;&gt;"",1+MAX($A$2:A745),"")</f>
        <v>641</v>
      </c>
      <c r="B746" s="313"/>
      <c r="C746" s="262" t="s">
        <v>619</v>
      </c>
      <c r="D746" s="267">
        <v>1</v>
      </c>
      <c r="E746" s="268">
        <v>0</v>
      </c>
      <c r="F746" s="267">
        <f t="shared" si="336"/>
        <v>1</v>
      </c>
      <c r="G746" s="269" t="s">
        <v>14</v>
      </c>
      <c r="H746" s="191">
        <v>0</v>
      </c>
      <c r="I746" s="192">
        <f t="shared" si="337"/>
        <v>0</v>
      </c>
      <c r="J746" s="193">
        <v>0</v>
      </c>
      <c r="K746" s="194">
        <f t="shared" si="338"/>
        <v>0</v>
      </c>
      <c r="L746" s="195">
        <v>55</v>
      </c>
      <c r="M746" s="196">
        <f t="shared" si="339"/>
        <v>0</v>
      </c>
      <c r="N746" s="197">
        <f t="shared" si="340"/>
        <v>0</v>
      </c>
      <c r="O746" s="198"/>
      <c r="P746" s="18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</row>
    <row r="747" spans="1:77" s="41" customFormat="1" ht="31.5">
      <c r="A747" s="64">
        <f>IF(F747&lt;&gt;"",1+MAX($A$2:A746),"")</f>
        <v>642</v>
      </c>
      <c r="B747" s="313"/>
      <c r="C747" s="262" t="s">
        <v>620</v>
      </c>
      <c r="D747" s="267">
        <v>3</v>
      </c>
      <c r="E747" s="268">
        <v>0</v>
      </c>
      <c r="F747" s="267">
        <f t="shared" si="336"/>
        <v>3</v>
      </c>
      <c r="G747" s="269" t="s">
        <v>14</v>
      </c>
      <c r="H747" s="191">
        <v>0</v>
      </c>
      <c r="I747" s="192">
        <f t="shared" si="337"/>
        <v>0</v>
      </c>
      <c r="J747" s="193">
        <v>0</v>
      </c>
      <c r="K747" s="194">
        <f t="shared" si="338"/>
        <v>0</v>
      </c>
      <c r="L747" s="195">
        <v>55</v>
      </c>
      <c r="M747" s="196">
        <f t="shared" si="339"/>
        <v>0</v>
      </c>
      <c r="N747" s="197">
        <f t="shared" si="340"/>
        <v>0</v>
      </c>
      <c r="O747" s="198"/>
      <c r="P747" s="18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</row>
    <row r="748" spans="1:77" s="41" customFormat="1" ht="15.75">
      <c r="A748" s="64">
        <f>IF(F748&lt;&gt;"",1+MAX($A$2:A747),"")</f>
        <v>643</v>
      </c>
      <c r="B748" s="313"/>
      <c r="C748" s="262" t="s">
        <v>621</v>
      </c>
      <c r="D748" s="267">
        <v>8</v>
      </c>
      <c r="E748" s="268">
        <v>0</v>
      </c>
      <c r="F748" s="267">
        <f t="shared" si="336"/>
        <v>8</v>
      </c>
      <c r="G748" s="269" t="s">
        <v>14</v>
      </c>
      <c r="H748" s="191">
        <v>0</v>
      </c>
      <c r="I748" s="192">
        <f t="shared" si="337"/>
        <v>0</v>
      </c>
      <c r="J748" s="193">
        <v>0</v>
      </c>
      <c r="K748" s="194">
        <f t="shared" si="338"/>
        <v>0</v>
      </c>
      <c r="L748" s="195">
        <v>55</v>
      </c>
      <c r="M748" s="196">
        <f t="shared" si="339"/>
        <v>0</v>
      </c>
      <c r="N748" s="197">
        <f t="shared" si="340"/>
        <v>0</v>
      </c>
      <c r="O748" s="198"/>
      <c r="P748" s="18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</row>
    <row r="749" spans="1:77" s="41" customFormat="1" ht="15.75">
      <c r="A749" s="64">
        <f>IF(F749&lt;&gt;"",1+MAX($A$2:A748),"")</f>
        <v>644</v>
      </c>
      <c r="B749" s="313"/>
      <c r="C749" s="262" t="s">
        <v>622</v>
      </c>
      <c r="D749" s="267">
        <v>6</v>
      </c>
      <c r="E749" s="268">
        <v>0</v>
      </c>
      <c r="F749" s="267">
        <f t="shared" si="336"/>
        <v>6</v>
      </c>
      <c r="G749" s="269" t="s">
        <v>14</v>
      </c>
      <c r="H749" s="191">
        <v>0</v>
      </c>
      <c r="I749" s="192">
        <f t="shared" si="337"/>
        <v>0</v>
      </c>
      <c r="J749" s="193">
        <v>0</v>
      </c>
      <c r="K749" s="194">
        <f t="shared" si="338"/>
        <v>0</v>
      </c>
      <c r="L749" s="195">
        <v>55</v>
      </c>
      <c r="M749" s="196">
        <f t="shared" si="339"/>
        <v>0</v>
      </c>
      <c r="N749" s="197">
        <f t="shared" si="340"/>
        <v>0</v>
      </c>
      <c r="O749" s="198"/>
      <c r="P749" s="18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</row>
    <row r="750" spans="1:77" s="41" customFormat="1" ht="31.5">
      <c r="A750" s="64">
        <f>IF(F750&lt;&gt;"",1+MAX($A$2:A749),"")</f>
        <v>645</v>
      </c>
      <c r="B750" s="313"/>
      <c r="C750" s="262" t="s">
        <v>623</v>
      </c>
      <c r="D750" s="267">
        <v>28</v>
      </c>
      <c r="E750" s="268">
        <v>0</v>
      </c>
      <c r="F750" s="267">
        <f t="shared" si="336"/>
        <v>28</v>
      </c>
      <c r="G750" s="269" t="s">
        <v>14</v>
      </c>
      <c r="H750" s="191">
        <v>0</v>
      </c>
      <c r="I750" s="192">
        <f t="shared" si="337"/>
        <v>0</v>
      </c>
      <c r="J750" s="193">
        <v>0</v>
      </c>
      <c r="K750" s="194">
        <f t="shared" si="338"/>
        <v>0</v>
      </c>
      <c r="L750" s="195">
        <v>55</v>
      </c>
      <c r="M750" s="196">
        <f t="shared" si="339"/>
        <v>0</v>
      </c>
      <c r="N750" s="197">
        <f t="shared" si="340"/>
        <v>0</v>
      </c>
      <c r="O750" s="198"/>
      <c r="P750" s="18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</row>
    <row r="751" spans="1:77" s="41" customFormat="1" ht="31.5">
      <c r="A751" s="64">
        <f>IF(F751&lt;&gt;"",1+MAX($A$2:A750),"")</f>
        <v>646</v>
      </c>
      <c r="B751" s="313"/>
      <c r="C751" s="262" t="s">
        <v>624</v>
      </c>
      <c r="D751" s="267">
        <v>4</v>
      </c>
      <c r="E751" s="268">
        <v>0</v>
      </c>
      <c r="F751" s="267">
        <f t="shared" si="336"/>
        <v>4</v>
      </c>
      <c r="G751" s="269" t="s">
        <v>14</v>
      </c>
      <c r="H751" s="191">
        <v>0</v>
      </c>
      <c r="I751" s="192">
        <f t="shared" si="337"/>
        <v>0</v>
      </c>
      <c r="J751" s="193">
        <v>0</v>
      </c>
      <c r="K751" s="194">
        <f t="shared" si="338"/>
        <v>0</v>
      </c>
      <c r="L751" s="195">
        <v>55</v>
      </c>
      <c r="M751" s="196">
        <f t="shared" si="339"/>
        <v>0</v>
      </c>
      <c r="N751" s="197">
        <f t="shared" si="340"/>
        <v>0</v>
      </c>
      <c r="O751" s="198"/>
      <c r="P751" s="18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</row>
    <row r="752" spans="1:77" s="41" customFormat="1" ht="15.75">
      <c r="A752" s="64">
        <f>IF(F752&lt;&gt;"",1+MAX($A$2:A751),"")</f>
        <v>647</v>
      </c>
      <c r="B752" s="313"/>
      <c r="C752" s="262" t="s">
        <v>625</v>
      </c>
      <c r="D752" s="267">
        <v>34</v>
      </c>
      <c r="E752" s="268">
        <v>0</v>
      </c>
      <c r="F752" s="267">
        <f t="shared" si="336"/>
        <v>34</v>
      </c>
      <c r="G752" s="269" t="s">
        <v>14</v>
      </c>
      <c r="H752" s="191">
        <v>0</v>
      </c>
      <c r="I752" s="192">
        <f t="shared" si="337"/>
        <v>0</v>
      </c>
      <c r="J752" s="193">
        <v>0</v>
      </c>
      <c r="K752" s="194">
        <f t="shared" si="338"/>
        <v>0</v>
      </c>
      <c r="L752" s="195">
        <v>55</v>
      </c>
      <c r="M752" s="196">
        <f t="shared" si="339"/>
        <v>0</v>
      </c>
      <c r="N752" s="197">
        <f t="shared" si="340"/>
        <v>0</v>
      </c>
      <c r="O752" s="198"/>
      <c r="P752" s="18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</row>
    <row r="753" spans="1:77" s="41" customFormat="1" ht="15.75">
      <c r="A753" s="64">
        <f>IF(F753&lt;&gt;"",1+MAX($A$2:A752),"")</f>
        <v>648</v>
      </c>
      <c r="B753" s="313"/>
      <c r="C753" s="262" t="s">
        <v>626</v>
      </c>
      <c r="D753" s="267">
        <v>16</v>
      </c>
      <c r="E753" s="268">
        <v>0</v>
      </c>
      <c r="F753" s="267">
        <f t="shared" si="336"/>
        <v>16</v>
      </c>
      <c r="G753" s="269" t="s">
        <v>14</v>
      </c>
      <c r="H753" s="191">
        <v>0</v>
      </c>
      <c r="I753" s="192">
        <f t="shared" si="337"/>
        <v>0</v>
      </c>
      <c r="J753" s="193">
        <v>0</v>
      </c>
      <c r="K753" s="194">
        <f t="shared" si="338"/>
        <v>0</v>
      </c>
      <c r="L753" s="195">
        <v>55</v>
      </c>
      <c r="M753" s="196">
        <f t="shared" si="339"/>
        <v>0</v>
      </c>
      <c r="N753" s="197">
        <f t="shared" si="340"/>
        <v>0</v>
      </c>
      <c r="O753" s="198"/>
      <c r="P753" s="18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</row>
    <row r="754" spans="1:77" s="41" customFormat="1" ht="15.75">
      <c r="A754" s="64">
        <f>IF(F754&lt;&gt;"",1+MAX($A$2:A753),"")</f>
        <v>649</v>
      </c>
      <c r="B754" s="313"/>
      <c r="C754" s="262" t="s">
        <v>627</v>
      </c>
      <c r="D754" s="267">
        <v>9</v>
      </c>
      <c r="E754" s="268">
        <v>0</v>
      </c>
      <c r="F754" s="267">
        <f t="shared" si="336"/>
        <v>9</v>
      </c>
      <c r="G754" s="269" t="s">
        <v>14</v>
      </c>
      <c r="H754" s="191">
        <v>0</v>
      </c>
      <c r="I754" s="192">
        <f t="shared" si="337"/>
        <v>0</v>
      </c>
      <c r="J754" s="193">
        <v>0</v>
      </c>
      <c r="K754" s="194">
        <f t="shared" si="338"/>
        <v>0</v>
      </c>
      <c r="L754" s="195">
        <v>55</v>
      </c>
      <c r="M754" s="196">
        <f t="shared" si="339"/>
        <v>0</v>
      </c>
      <c r="N754" s="197">
        <f t="shared" si="340"/>
        <v>0</v>
      </c>
      <c r="O754" s="198"/>
      <c r="P754" s="18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</row>
    <row r="755" spans="1:77" s="41" customFormat="1" ht="15.75">
      <c r="A755" s="64">
        <f>IF(F755&lt;&gt;"",1+MAX($A$2:A754),"")</f>
        <v>650</v>
      </c>
      <c r="B755" s="313"/>
      <c r="C755" s="262" t="s">
        <v>628</v>
      </c>
      <c r="D755" s="267">
        <v>1</v>
      </c>
      <c r="E755" s="268">
        <v>0</v>
      </c>
      <c r="F755" s="267">
        <f t="shared" si="336"/>
        <v>1</v>
      </c>
      <c r="G755" s="269" t="s">
        <v>14</v>
      </c>
      <c r="H755" s="191">
        <v>0</v>
      </c>
      <c r="I755" s="192">
        <f t="shared" si="337"/>
        <v>0</v>
      </c>
      <c r="J755" s="193">
        <v>0</v>
      </c>
      <c r="K755" s="194">
        <f t="shared" si="338"/>
        <v>0</v>
      </c>
      <c r="L755" s="195">
        <v>55</v>
      </c>
      <c r="M755" s="196">
        <f t="shared" si="339"/>
        <v>0</v>
      </c>
      <c r="N755" s="197">
        <f t="shared" si="340"/>
        <v>0</v>
      </c>
      <c r="O755" s="198"/>
      <c r="P755" s="18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</row>
    <row r="756" spans="1:77" s="41" customFormat="1" ht="15.75">
      <c r="A756" s="64">
        <f>IF(F756&lt;&gt;"",1+MAX($A$2:A755),"")</f>
        <v>651</v>
      </c>
      <c r="B756" s="313"/>
      <c r="C756" s="265" t="s">
        <v>629</v>
      </c>
      <c r="D756" s="267">
        <v>1</v>
      </c>
      <c r="E756" s="268">
        <v>0</v>
      </c>
      <c r="F756" s="267">
        <f t="shared" si="336"/>
        <v>1</v>
      </c>
      <c r="G756" s="269" t="s">
        <v>14</v>
      </c>
      <c r="H756" s="191">
        <v>0</v>
      </c>
      <c r="I756" s="192">
        <f t="shared" si="337"/>
        <v>0</v>
      </c>
      <c r="J756" s="193">
        <v>0</v>
      </c>
      <c r="K756" s="194">
        <f t="shared" si="338"/>
        <v>0</v>
      </c>
      <c r="L756" s="195">
        <v>55</v>
      </c>
      <c r="M756" s="196">
        <f t="shared" si="339"/>
        <v>0</v>
      </c>
      <c r="N756" s="197">
        <f t="shared" si="340"/>
        <v>0</v>
      </c>
      <c r="O756" s="198"/>
      <c r="P756" s="18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</row>
    <row r="757" spans="1:77" s="41" customFormat="1" ht="31.5">
      <c r="A757" s="64">
        <f>IF(F757&lt;&gt;"",1+MAX($A$2:A756),"")</f>
        <v>652</v>
      </c>
      <c r="B757" s="313"/>
      <c r="C757" s="262" t="s">
        <v>630</v>
      </c>
      <c r="D757" s="267">
        <v>1</v>
      </c>
      <c r="E757" s="268">
        <v>0</v>
      </c>
      <c r="F757" s="267">
        <f t="shared" si="336"/>
        <v>1</v>
      </c>
      <c r="G757" s="269" t="s">
        <v>14</v>
      </c>
      <c r="H757" s="191">
        <v>0</v>
      </c>
      <c r="I757" s="192">
        <f t="shared" si="337"/>
        <v>0</v>
      </c>
      <c r="J757" s="193">
        <v>0</v>
      </c>
      <c r="K757" s="194">
        <f t="shared" si="338"/>
        <v>0</v>
      </c>
      <c r="L757" s="195">
        <v>55</v>
      </c>
      <c r="M757" s="196">
        <f t="shared" si="339"/>
        <v>0</v>
      </c>
      <c r="N757" s="197">
        <f t="shared" si="340"/>
        <v>0</v>
      </c>
      <c r="O757" s="198"/>
      <c r="P757" s="18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</row>
    <row r="758" spans="1:77" s="41" customFormat="1" ht="31.5">
      <c r="A758" s="64">
        <f>IF(F758&lt;&gt;"",1+MAX($A$2:A757),"")</f>
        <v>653</v>
      </c>
      <c r="B758" s="313"/>
      <c r="C758" s="262" t="s">
        <v>631</v>
      </c>
      <c r="D758" s="267">
        <v>1</v>
      </c>
      <c r="E758" s="268">
        <v>0</v>
      </c>
      <c r="F758" s="267">
        <f t="shared" si="336"/>
        <v>1</v>
      </c>
      <c r="G758" s="269" t="s">
        <v>14</v>
      </c>
      <c r="H758" s="191">
        <v>0</v>
      </c>
      <c r="I758" s="192">
        <f t="shared" si="337"/>
        <v>0</v>
      </c>
      <c r="J758" s="193">
        <v>0</v>
      </c>
      <c r="K758" s="194">
        <f t="shared" si="338"/>
        <v>0</v>
      </c>
      <c r="L758" s="195">
        <v>55</v>
      </c>
      <c r="M758" s="196">
        <f t="shared" si="339"/>
        <v>0</v>
      </c>
      <c r="N758" s="197">
        <f t="shared" si="340"/>
        <v>0</v>
      </c>
      <c r="O758" s="198"/>
      <c r="P758" s="18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</row>
    <row r="759" spans="1:77" s="41" customFormat="1" ht="31.5">
      <c r="A759" s="64">
        <f>IF(F759&lt;&gt;"",1+MAX($A$2:A758),"")</f>
        <v>654</v>
      </c>
      <c r="B759" s="313"/>
      <c r="C759" s="262" t="s">
        <v>632</v>
      </c>
      <c r="D759" s="267">
        <v>1</v>
      </c>
      <c r="E759" s="268">
        <v>0</v>
      </c>
      <c r="F759" s="267">
        <f t="shared" si="336"/>
        <v>1</v>
      </c>
      <c r="G759" s="269" t="s">
        <v>14</v>
      </c>
      <c r="H759" s="191">
        <v>0</v>
      </c>
      <c r="I759" s="192">
        <f t="shared" si="337"/>
        <v>0</v>
      </c>
      <c r="J759" s="193">
        <v>0</v>
      </c>
      <c r="K759" s="194">
        <f t="shared" si="338"/>
        <v>0</v>
      </c>
      <c r="L759" s="195">
        <v>55</v>
      </c>
      <c r="M759" s="196">
        <f t="shared" si="339"/>
        <v>0</v>
      </c>
      <c r="N759" s="197">
        <f t="shared" si="340"/>
        <v>0</v>
      </c>
      <c r="O759" s="198"/>
      <c r="P759" s="18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</row>
    <row r="760" spans="1:77" s="41" customFormat="1" ht="31.5">
      <c r="A760" s="64">
        <f>IF(F760&lt;&gt;"",1+MAX($A$2:A759),"")</f>
        <v>655</v>
      </c>
      <c r="B760" s="313"/>
      <c r="C760" s="262" t="s">
        <v>633</v>
      </c>
      <c r="D760" s="267">
        <v>1</v>
      </c>
      <c r="E760" s="268">
        <v>0</v>
      </c>
      <c r="F760" s="267">
        <f t="shared" si="336"/>
        <v>1</v>
      </c>
      <c r="G760" s="269" t="s">
        <v>14</v>
      </c>
      <c r="H760" s="191">
        <v>0</v>
      </c>
      <c r="I760" s="192">
        <f t="shared" si="337"/>
        <v>0</v>
      </c>
      <c r="J760" s="193">
        <v>0</v>
      </c>
      <c r="K760" s="194">
        <f t="shared" si="338"/>
        <v>0</v>
      </c>
      <c r="L760" s="195">
        <v>55</v>
      </c>
      <c r="M760" s="196">
        <f t="shared" si="339"/>
        <v>0</v>
      </c>
      <c r="N760" s="197">
        <f t="shared" si="340"/>
        <v>0</v>
      </c>
      <c r="O760" s="198"/>
      <c r="P760" s="18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</row>
    <row r="761" spans="1:77" s="41" customFormat="1" ht="15.75">
      <c r="A761" s="64">
        <f>IF(F761&lt;&gt;"",1+MAX($A$2:A760),"")</f>
        <v>656</v>
      </c>
      <c r="B761" s="313"/>
      <c r="C761" s="262" t="s">
        <v>634</v>
      </c>
      <c r="D761" s="267">
        <v>1</v>
      </c>
      <c r="E761" s="268">
        <v>0</v>
      </c>
      <c r="F761" s="267">
        <f t="shared" si="336"/>
        <v>1</v>
      </c>
      <c r="G761" s="269" t="s">
        <v>14</v>
      </c>
      <c r="H761" s="191">
        <v>0</v>
      </c>
      <c r="I761" s="192">
        <f t="shared" si="337"/>
        <v>0</v>
      </c>
      <c r="J761" s="193">
        <v>0</v>
      </c>
      <c r="K761" s="194">
        <f t="shared" si="338"/>
        <v>0</v>
      </c>
      <c r="L761" s="195">
        <v>55</v>
      </c>
      <c r="M761" s="196">
        <f t="shared" si="339"/>
        <v>0</v>
      </c>
      <c r="N761" s="197">
        <f t="shared" si="340"/>
        <v>0</v>
      </c>
      <c r="O761" s="198"/>
      <c r="P761" s="18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</row>
    <row r="762" spans="1:77" s="41" customFormat="1" ht="15.75">
      <c r="A762" s="64">
        <f>IF(F762&lt;&gt;"",1+MAX($A$2:A761),"")</f>
        <v>657</v>
      </c>
      <c r="B762" s="313"/>
      <c r="C762" s="262" t="s">
        <v>635</v>
      </c>
      <c r="D762" s="267">
        <v>1</v>
      </c>
      <c r="E762" s="268">
        <v>0</v>
      </c>
      <c r="F762" s="267">
        <f t="shared" si="336"/>
        <v>1</v>
      </c>
      <c r="G762" s="269" t="s">
        <v>14</v>
      </c>
      <c r="H762" s="191">
        <v>0</v>
      </c>
      <c r="I762" s="192">
        <f t="shared" si="337"/>
        <v>0</v>
      </c>
      <c r="J762" s="193">
        <v>0</v>
      </c>
      <c r="K762" s="194">
        <f t="shared" si="338"/>
        <v>0</v>
      </c>
      <c r="L762" s="195">
        <v>55</v>
      </c>
      <c r="M762" s="196">
        <f t="shared" si="339"/>
        <v>0</v>
      </c>
      <c r="N762" s="197">
        <f t="shared" si="340"/>
        <v>0</v>
      </c>
      <c r="O762" s="198"/>
      <c r="P762" s="18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</row>
    <row r="763" spans="1:77" s="41" customFormat="1" ht="31.5">
      <c r="A763" s="64">
        <f>IF(F763&lt;&gt;"",1+MAX($A$2:A762),"")</f>
        <v>658</v>
      </c>
      <c r="B763" s="313"/>
      <c r="C763" s="262" t="s">
        <v>636</v>
      </c>
      <c r="D763" s="267">
        <v>1</v>
      </c>
      <c r="E763" s="268">
        <v>0</v>
      </c>
      <c r="F763" s="267">
        <f t="shared" si="336"/>
        <v>1</v>
      </c>
      <c r="G763" s="269" t="s">
        <v>14</v>
      </c>
      <c r="H763" s="191">
        <v>0</v>
      </c>
      <c r="I763" s="192">
        <f t="shared" si="337"/>
        <v>0</v>
      </c>
      <c r="J763" s="193">
        <v>0</v>
      </c>
      <c r="K763" s="194">
        <f t="shared" si="338"/>
        <v>0</v>
      </c>
      <c r="L763" s="195">
        <v>55</v>
      </c>
      <c r="M763" s="196">
        <f t="shared" si="339"/>
        <v>0</v>
      </c>
      <c r="N763" s="197">
        <f t="shared" si="340"/>
        <v>0</v>
      </c>
      <c r="O763" s="198"/>
      <c r="P763" s="18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</row>
    <row r="764" spans="1:77" s="41" customFormat="1" ht="31.5">
      <c r="A764" s="64">
        <f>IF(F764&lt;&gt;"",1+MAX($A$2:A763),"")</f>
        <v>659</v>
      </c>
      <c r="B764" s="313"/>
      <c r="C764" s="262" t="s">
        <v>637</v>
      </c>
      <c r="D764" s="267">
        <v>1</v>
      </c>
      <c r="E764" s="268">
        <v>0</v>
      </c>
      <c r="F764" s="267">
        <f t="shared" si="336"/>
        <v>1</v>
      </c>
      <c r="G764" s="269" t="s">
        <v>14</v>
      </c>
      <c r="H764" s="191">
        <v>0</v>
      </c>
      <c r="I764" s="192">
        <f t="shared" si="337"/>
        <v>0</v>
      </c>
      <c r="J764" s="193">
        <v>0</v>
      </c>
      <c r="K764" s="194">
        <f t="shared" si="338"/>
        <v>0</v>
      </c>
      <c r="L764" s="195">
        <v>55</v>
      </c>
      <c r="M764" s="196">
        <f t="shared" si="339"/>
        <v>0</v>
      </c>
      <c r="N764" s="197">
        <f t="shared" si="340"/>
        <v>0</v>
      </c>
      <c r="O764" s="198"/>
      <c r="P764" s="18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</row>
    <row r="765" spans="1:77" s="41" customFormat="1" ht="31.5">
      <c r="A765" s="64">
        <f>IF(F765&lt;&gt;"",1+MAX($A$2:A764),"")</f>
        <v>660</v>
      </c>
      <c r="B765" s="313"/>
      <c r="C765" s="262" t="s">
        <v>638</v>
      </c>
      <c r="D765" s="267">
        <v>1</v>
      </c>
      <c r="E765" s="268">
        <v>0</v>
      </c>
      <c r="F765" s="267">
        <f t="shared" si="336"/>
        <v>1</v>
      </c>
      <c r="G765" s="269" t="s">
        <v>14</v>
      </c>
      <c r="H765" s="191">
        <v>0</v>
      </c>
      <c r="I765" s="192">
        <f t="shared" si="337"/>
        <v>0</v>
      </c>
      <c r="J765" s="193">
        <v>0</v>
      </c>
      <c r="K765" s="194">
        <f t="shared" si="338"/>
        <v>0</v>
      </c>
      <c r="L765" s="195">
        <v>55</v>
      </c>
      <c r="M765" s="196">
        <f t="shared" si="339"/>
        <v>0</v>
      </c>
      <c r="N765" s="197">
        <f t="shared" si="340"/>
        <v>0</v>
      </c>
      <c r="O765" s="198"/>
      <c r="P765" s="18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</row>
    <row r="766" spans="1:77" s="41" customFormat="1" ht="31.5">
      <c r="A766" s="64">
        <f>IF(F766&lt;&gt;"",1+MAX($A$2:A765),"")</f>
        <v>661</v>
      </c>
      <c r="B766" s="313"/>
      <c r="C766" s="262" t="s">
        <v>639</v>
      </c>
      <c r="D766" s="267">
        <v>1</v>
      </c>
      <c r="E766" s="268">
        <v>0</v>
      </c>
      <c r="F766" s="267">
        <f t="shared" si="336"/>
        <v>1</v>
      </c>
      <c r="G766" s="269" t="s">
        <v>14</v>
      </c>
      <c r="H766" s="191">
        <v>0</v>
      </c>
      <c r="I766" s="192">
        <f t="shared" si="337"/>
        <v>0</v>
      </c>
      <c r="J766" s="193">
        <v>0</v>
      </c>
      <c r="K766" s="194">
        <f t="shared" si="338"/>
        <v>0</v>
      </c>
      <c r="L766" s="195">
        <v>55</v>
      </c>
      <c r="M766" s="196">
        <f t="shared" si="339"/>
        <v>0</v>
      </c>
      <c r="N766" s="197">
        <f t="shared" si="340"/>
        <v>0</v>
      </c>
      <c r="O766" s="198"/>
      <c r="P766" s="18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</row>
    <row r="767" spans="1:77" s="41" customFormat="1" ht="31.5">
      <c r="A767" s="64">
        <f>IF(F767&lt;&gt;"",1+MAX($A$2:A766),"")</f>
        <v>662</v>
      </c>
      <c r="B767" s="313"/>
      <c r="C767" s="262" t="s">
        <v>640</v>
      </c>
      <c r="D767" s="267">
        <v>1</v>
      </c>
      <c r="E767" s="268">
        <v>0</v>
      </c>
      <c r="F767" s="267">
        <f t="shared" si="336"/>
        <v>1</v>
      </c>
      <c r="G767" s="269" t="s">
        <v>14</v>
      </c>
      <c r="H767" s="191">
        <v>0</v>
      </c>
      <c r="I767" s="192">
        <f t="shared" si="337"/>
        <v>0</v>
      </c>
      <c r="J767" s="193">
        <v>0</v>
      </c>
      <c r="K767" s="194">
        <f t="shared" si="338"/>
        <v>0</v>
      </c>
      <c r="L767" s="195">
        <v>55</v>
      </c>
      <c r="M767" s="196">
        <f t="shared" si="339"/>
        <v>0</v>
      </c>
      <c r="N767" s="197">
        <f t="shared" si="340"/>
        <v>0</v>
      </c>
      <c r="O767" s="198"/>
      <c r="P767" s="18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</row>
    <row r="768" spans="1:77" s="41" customFormat="1" ht="31.5">
      <c r="A768" s="64">
        <f>IF(F768&lt;&gt;"",1+MAX($A$2:A767),"")</f>
        <v>663</v>
      </c>
      <c r="B768" s="313"/>
      <c r="C768" s="262" t="s">
        <v>641</v>
      </c>
      <c r="D768" s="267">
        <v>1</v>
      </c>
      <c r="E768" s="268">
        <v>0</v>
      </c>
      <c r="F768" s="267">
        <f t="shared" si="336"/>
        <v>1</v>
      </c>
      <c r="G768" s="269" t="s">
        <v>14</v>
      </c>
      <c r="H768" s="191">
        <v>0</v>
      </c>
      <c r="I768" s="192">
        <f t="shared" si="337"/>
        <v>0</v>
      </c>
      <c r="J768" s="193">
        <v>0</v>
      </c>
      <c r="K768" s="194">
        <f t="shared" si="338"/>
        <v>0</v>
      </c>
      <c r="L768" s="195">
        <v>55</v>
      </c>
      <c r="M768" s="196">
        <f t="shared" si="339"/>
        <v>0</v>
      </c>
      <c r="N768" s="197">
        <f t="shared" si="340"/>
        <v>0</v>
      </c>
      <c r="O768" s="198"/>
      <c r="P768" s="18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</row>
    <row r="769" spans="1:77" s="41" customFormat="1" ht="15.75">
      <c r="A769" s="64">
        <f>IF(F769&lt;&gt;"",1+MAX($A$2:A768),"")</f>
        <v>664</v>
      </c>
      <c r="B769" s="313"/>
      <c r="C769" s="265" t="s">
        <v>642</v>
      </c>
      <c r="D769" s="267">
        <v>1</v>
      </c>
      <c r="E769" s="268">
        <v>0</v>
      </c>
      <c r="F769" s="267">
        <f t="shared" si="336"/>
        <v>1</v>
      </c>
      <c r="G769" s="269" t="s">
        <v>14</v>
      </c>
      <c r="H769" s="191">
        <v>0</v>
      </c>
      <c r="I769" s="192">
        <f t="shared" si="337"/>
        <v>0</v>
      </c>
      <c r="J769" s="193">
        <v>0</v>
      </c>
      <c r="K769" s="194">
        <f t="shared" si="338"/>
        <v>0</v>
      </c>
      <c r="L769" s="195">
        <v>55</v>
      </c>
      <c r="M769" s="196">
        <f t="shared" si="339"/>
        <v>0</v>
      </c>
      <c r="N769" s="197">
        <f t="shared" si="340"/>
        <v>0</v>
      </c>
      <c r="O769" s="198"/>
      <c r="P769" s="18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</row>
    <row r="770" spans="1:77" s="41" customFormat="1" ht="31.5">
      <c r="A770" s="64">
        <f>IF(F770&lt;&gt;"",1+MAX($A$2:A769),"")</f>
        <v>665</v>
      </c>
      <c r="B770" s="313"/>
      <c r="C770" s="262" t="s">
        <v>643</v>
      </c>
      <c r="D770" s="267">
        <v>1</v>
      </c>
      <c r="E770" s="268">
        <v>0</v>
      </c>
      <c r="F770" s="267">
        <f t="shared" si="336"/>
        <v>1</v>
      </c>
      <c r="G770" s="269" t="s">
        <v>14</v>
      </c>
      <c r="H770" s="191">
        <v>0</v>
      </c>
      <c r="I770" s="192">
        <f t="shared" si="337"/>
        <v>0</v>
      </c>
      <c r="J770" s="193">
        <v>0</v>
      </c>
      <c r="K770" s="194">
        <f t="shared" si="338"/>
        <v>0</v>
      </c>
      <c r="L770" s="195">
        <v>55</v>
      </c>
      <c r="M770" s="196">
        <f t="shared" si="339"/>
        <v>0</v>
      </c>
      <c r="N770" s="197">
        <f t="shared" si="340"/>
        <v>0</v>
      </c>
      <c r="O770" s="198"/>
      <c r="P770" s="18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</row>
    <row r="771" spans="1:77" s="41" customFormat="1" ht="15.75">
      <c r="A771" s="64">
        <f>IF(F771&lt;&gt;"",1+MAX($A$2:A770),"")</f>
        <v>666</v>
      </c>
      <c r="B771" s="313"/>
      <c r="C771" s="262" t="s">
        <v>644</v>
      </c>
      <c r="D771" s="267">
        <v>2</v>
      </c>
      <c r="E771" s="268">
        <v>0</v>
      </c>
      <c r="F771" s="267">
        <f t="shared" si="336"/>
        <v>2</v>
      </c>
      <c r="G771" s="269" t="s">
        <v>14</v>
      </c>
      <c r="H771" s="191">
        <v>0</v>
      </c>
      <c r="I771" s="192">
        <f t="shared" si="337"/>
        <v>0</v>
      </c>
      <c r="J771" s="193">
        <v>0</v>
      </c>
      <c r="K771" s="194">
        <f t="shared" si="338"/>
        <v>0</v>
      </c>
      <c r="L771" s="195">
        <v>55</v>
      </c>
      <c r="M771" s="196">
        <f t="shared" si="339"/>
        <v>0</v>
      </c>
      <c r="N771" s="197">
        <f t="shared" si="340"/>
        <v>0</v>
      </c>
      <c r="O771" s="198"/>
      <c r="P771" s="18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</row>
    <row r="772" spans="1:77" s="41" customFormat="1" ht="15.75">
      <c r="A772" s="64">
        <f>IF(F772&lt;&gt;"",1+MAX($A$2:A771),"")</f>
        <v>667</v>
      </c>
      <c r="B772" s="313"/>
      <c r="C772" s="262" t="s">
        <v>645</v>
      </c>
      <c r="D772" s="267">
        <v>8</v>
      </c>
      <c r="E772" s="268">
        <v>0</v>
      </c>
      <c r="F772" s="267">
        <f t="shared" ref="F772:F777" si="341">(1+E772)*D772</f>
        <v>8</v>
      </c>
      <c r="G772" s="269" t="s">
        <v>14</v>
      </c>
      <c r="H772" s="191">
        <v>0</v>
      </c>
      <c r="I772" s="192">
        <f t="shared" ref="I772:I777" si="342">H772*F772</f>
        <v>0</v>
      </c>
      <c r="J772" s="193">
        <v>0</v>
      </c>
      <c r="K772" s="194">
        <f t="shared" ref="K772:K777" si="343">J772*F772</f>
        <v>0</v>
      </c>
      <c r="L772" s="195">
        <v>55</v>
      </c>
      <c r="M772" s="196">
        <f t="shared" ref="M772:M777" si="344">L772*K772</f>
        <v>0</v>
      </c>
      <c r="N772" s="197">
        <f t="shared" ref="N772:N777" si="345">M772+I772</f>
        <v>0</v>
      </c>
      <c r="O772" s="198"/>
      <c r="P772" s="18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</row>
    <row r="773" spans="1:77" s="41" customFormat="1" ht="15.75">
      <c r="A773" s="64">
        <f>IF(F773&lt;&gt;"",1+MAX($A$2:A772),"")</f>
        <v>668</v>
      </c>
      <c r="B773" s="313"/>
      <c r="C773" s="262" t="s">
        <v>646</v>
      </c>
      <c r="D773" s="267">
        <v>4</v>
      </c>
      <c r="E773" s="268">
        <v>0</v>
      </c>
      <c r="F773" s="267">
        <f t="shared" si="341"/>
        <v>4</v>
      </c>
      <c r="G773" s="269" t="s">
        <v>14</v>
      </c>
      <c r="H773" s="191">
        <v>0</v>
      </c>
      <c r="I773" s="192">
        <f t="shared" si="342"/>
        <v>0</v>
      </c>
      <c r="J773" s="193">
        <v>0</v>
      </c>
      <c r="K773" s="194">
        <f t="shared" si="343"/>
        <v>0</v>
      </c>
      <c r="L773" s="195">
        <v>55</v>
      </c>
      <c r="M773" s="196">
        <f t="shared" si="344"/>
        <v>0</v>
      </c>
      <c r="N773" s="197">
        <f t="shared" si="345"/>
        <v>0</v>
      </c>
      <c r="O773" s="198"/>
      <c r="P773" s="18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</row>
    <row r="774" spans="1:77" s="41" customFormat="1" ht="15.75">
      <c r="A774" s="64">
        <f>IF(F774&lt;&gt;"",1+MAX($A$2:A773),"")</f>
        <v>669</v>
      </c>
      <c r="B774" s="313"/>
      <c r="C774" s="262" t="s">
        <v>647</v>
      </c>
      <c r="D774" s="267">
        <v>8</v>
      </c>
      <c r="E774" s="268">
        <v>0</v>
      </c>
      <c r="F774" s="267">
        <f t="shared" si="341"/>
        <v>8</v>
      </c>
      <c r="G774" s="269" t="s">
        <v>14</v>
      </c>
      <c r="H774" s="191">
        <v>0</v>
      </c>
      <c r="I774" s="192">
        <f t="shared" si="342"/>
        <v>0</v>
      </c>
      <c r="J774" s="193">
        <v>0</v>
      </c>
      <c r="K774" s="194">
        <f t="shared" si="343"/>
        <v>0</v>
      </c>
      <c r="L774" s="195">
        <v>55</v>
      </c>
      <c r="M774" s="196">
        <f t="shared" si="344"/>
        <v>0</v>
      </c>
      <c r="N774" s="197">
        <f t="shared" si="345"/>
        <v>0</v>
      </c>
      <c r="O774" s="198"/>
      <c r="P774" s="18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</row>
    <row r="775" spans="1:77" s="41" customFormat="1" ht="15.75">
      <c r="A775" s="64">
        <f>IF(F775&lt;&gt;"",1+MAX($A$2:A774),"")</f>
        <v>670</v>
      </c>
      <c r="B775" s="313"/>
      <c r="C775" s="262" t="s">
        <v>648</v>
      </c>
      <c r="D775" s="267">
        <v>8</v>
      </c>
      <c r="E775" s="268">
        <v>0</v>
      </c>
      <c r="F775" s="267">
        <f t="shared" si="341"/>
        <v>8</v>
      </c>
      <c r="G775" s="269" t="s">
        <v>14</v>
      </c>
      <c r="H775" s="191">
        <v>0</v>
      </c>
      <c r="I775" s="192">
        <f t="shared" si="342"/>
        <v>0</v>
      </c>
      <c r="J775" s="193">
        <v>0</v>
      </c>
      <c r="K775" s="194">
        <f t="shared" si="343"/>
        <v>0</v>
      </c>
      <c r="L775" s="195">
        <v>55</v>
      </c>
      <c r="M775" s="196">
        <f t="shared" si="344"/>
        <v>0</v>
      </c>
      <c r="N775" s="197">
        <f t="shared" si="345"/>
        <v>0</v>
      </c>
      <c r="O775" s="198"/>
      <c r="P775" s="18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</row>
    <row r="776" spans="1:77" s="41" customFormat="1" ht="15.75">
      <c r="A776" s="64">
        <f>IF(F776&lt;&gt;"",1+MAX($A$2:A775),"")</f>
        <v>671</v>
      </c>
      <c r="B776" s="313"/>
      <c r="C776" s="262" t="s">
        <v>649</v>
      </c>
      <c r="D776" s="267">
        <v>8</v>
      </c>
      <c r="E776" s="268">
        <v>0</v>
      </c>
      <c r="F776" s="267">
        <f t="shared" si="341"/>
        <v>8</v>
      </c>
      <c r="G776" s="269" t="s">
        <v>14</v>
      </c>
      <c r="H776" s="191">
        <v>0</v>
      </c>
      <c r="I776" s="192">
        <f t="shared" si="342"/>
        <v>0</v>
      </c>
      <c r="J776" s="193">
        <v>0</v>
      </c>
      <c r="K776" s="194">
        <f t="shared" si="343"/>
        <v>0</v>
      </c>
      <c r="L776" s="195">
        <v>55</v>
      </c>
      <c r="M776" s="196">
        <f t="shared" si="344"/>
        <v>0</v>
      </c>
      <c r="N776" s="197">
        <f t="shared" si="345"/>
        <v>0</v>
      </c>
      <c r="O776" s="198"/>
      <c r="P776" s="18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</row>
    <row r="777" spans="1:77" s="41" customFormat="1" ht="15.75">
      <c r="A777" s="64">
        <f>IF(F777&lt;&gt;"",1+MAX($A$2:A776),"")</f>
        <v>672</v>
      </c>
      <c r="B777" s="313"/>
      <c r="C777" s="262" t="s">
        <v>650</v>
      </c>
      <c r="D777" s="267">
        <v>1</v>
      </c>
      <c r="E777" s="268">
        <v>0</v>
      </c>
      <c r="F777" s="267">
        <f t="shared" si="341"/>
        <v>1</v>
      </c>
      <c r="G777" s="269" t="s">
        <v>14</v>
      </c>
      <c r="H777" s="191">
        <v>0</v>
      </c>
      <c r="I777" s="192">
        <f t="shared" si="342"/>
        <v>0</v>
      </c>
      <c r="J777" s="193">
        <v>0</v>
      </c>
      <c r="K777" s="194">
        <f t="shared" si="343"/>
        <v>0</v>
      </c>
      <c r="L777" s="195">
        <v>55</v>
      </c>
      <c r="M777" s="196">
        <f t="shared" si="344"/>
        <v>0</v>
      </c>
      <c r="N777" s="197">
        <f t="shared" si="345"/>
        <v>0</v>
      </c>
      <c r="O777" s="198"/>
      <c r="P777" s="18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</row>
    <row r="778" spans="1:77" s="41" customFormat="1" ht="15.75">
      <c r="A778" s="64" t="str">
        <f>IF(F778&lt;&gt;"",1+MAX($A$2:A777),"")</f>
        <v/>
      </c>
      <c r="B778" s="313"/>
      <c r="C778" s="252" t="s">
        <v>651</v>
      </c>
      <c r="D778" s="267"/>
      <c r="E778" s="268"/>
      <c r="F778" s="267"/>
      <c r="G778" s="269"/>
      <c r="H778" s="191"/>
      <c r="I778" s="192"/>
      <c r="J778" s="193"/>
      <c r="K778" s="194"/>
      <c r="L778" s="195"/>
      <c r="M778" s="196"/>
      <c r="N778" s="197"/>
      <c r="O778" s="198"/>
      <c r="P778" s="18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</row>
    <row r="779" spans="1:77" s="41" customFormat="1" ht="15.75">
      <c r="A779" s="64">
        <f>IF(F779&lt;&gt;"",1+MAX($A$2:A778),"")</f>
        <v>673</v>
      </c>
      <c r="B779" s="313"/>
      <c r="C779" s="262" t="s">
        <v>652</v>
      </c>
      <c r="D779" s="267">
        <v>1</v>
      </c>
      <c r="E779" s="268">
        <v>0</v>
      </c>
      <c r="F779" s="267">
        <f t="shared" ref="F779:F785" si="346">(1+E779)*D779</f>
        <v>1</v>
      </c>
      <c r="G779" s="269" t="s">
        <v>14</v>
      </c>
      <c r="H779" s="191">
        <v>0</v>
      </c>
      <c r="I779" s="192">
        <f t="shared" ref="I779:I785" si="347">H779*F779</f>
        <v>0</v>
      </c>
      <c r="J779" s="193">
        <v>0</v>
      </c>
      <c r="K779" s="194">
        <f t="shared" ref="K779:K785" si="348">J779*F779</f>
        <v>0</v>
      </c>
      <c r="L779" s="195">
        <v>55</v>
      </c>
      <c r="M779" s="196">
        <f t="shared" ref="M779:M785" si="349">L779*K779</f>
        <v>0</v>
      </c>
      <c r="N779" s="197">
        <f t="shared" ref="N779:N785" si="350">M779+I779</f>
        <v>0</v>
      </c>
      <c r="O779" s="198"/>
      <c r="P779" s="18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</row>
    <row r="780" spans="1:77" s="41" customFormat="1" ht="15.75">
      <c r="A780" s="64">
        <f>IF(F780&lt;&gt;"",1+MAX($A$2:A779),"")</f>
        <v>674</v>
      </c>
      <c r="B780" s="313"/>
      <c r="C780" s="262" t="s">
        <v>653</v>
      </c>
      <c r="D780" s="267">
        <v>1</v>
      </c>
      <c r="E780" s="268">
        <v>0</v>
      </c>
      <c r="F780" s="267">
        <f t="shared" si="346"/>
        <v>1</v>
      </c>
      <c r="G780" s="269" t="s">
        <v>14</v>
      </c>
      <c r="H780" s="191">
        <v>0</v>
      </c>
      <c r="I780" s="192">
        <f t="shared" si="347"/>
        <v>0</v>
      </c>
      <c r="J780" s="193">
        <v>0</v>
      </c>
      <c r="K780" s="194">
        <f t="shared" si="348"/>
        <v>0</v>
      </c>
      <c r="L780" s="195">
        <v>55</v>
      </c>
      <c r="M780" s="196">
        <f t="shared" si="349"/>
        <v>0</v>
      </c>
      <c r="N780" s="197">
        <f t="shared" si="350"/>
        <v>0</v>
      </c>
      <c r="O780" s="198"/>
      <c r="P780" s="18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</row>
    <row r="781" spans="1:77" s="41" customFormat="1" ht="15.75">
      <c r="A781" s="64">
        <f>IF(F781&lt;&gt;"",1+MAX($A$2:A780),"")</f>
        <v>675</v>
      </c>
      <c r="B781" s="313"/>
      <c r="C781" s="262" t="s">
        <v>654</v>
      </c>
      <c r="D781" s="267">
        <v>2</v>
      </c>
      <c r="E781" s="268">
        <v>0</v>
      </c>
      <c r="F781" s="267">
        <f t="shared" si="346"/>
        <v>2</v>
      </c>
      <c r="G781" s="269" t="s">
        <v>14</v>
      </c>
      <c r="H781" s="191">
        <v>0</v>
      </c>
      <c r="I781" s="192">
        <f t="shared" si="347"/>
        <v>0</v>
      </c>
      <c r="J781" s="193">
        <v>0</v>
      </c>
      <c r="K781" s="194">
        <f t="shared" si="348"/>
        <v>0</v>
      </c>
      <c r="L781" s="195">
        <v>55</v>
      </c>
      <c r="M781" s="196">
        <f t="shared" si="349"/>
        <v>0</v>
      </c>
      <c r="N781" s="197">
        <f t="shared" si="350"/>
        <v>0</v>
      </c>
      <c r="O781" s="198"/>
      <c r="P781" s="18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</row>
    <row r="782" spans="1:77" s="41" customFormat="1" ht="15.75">
      <c r="A782" s="64">
        <f>IF(F782&lt;&gt;"",1+MAX($A$2:A781),"")</f>
        <v>676</v>
      </c>
      <c r="B782" s="313"/>
      <c r="C782" s="262" t="s">
        <v>655</v>
      </c>
      <c r="D782" s="267">
        <v>2</v>
      </c>
      <c r="E782" s="268">
        <v>0</v>
      </c>
      <c r="F782" s="267">
        <f t="shared" si="346"/>
        <v>2</v>
      </c>
      <c r="G782" s="269" t="s">
        <v>14</v>
      </c>
      <c r="H782" s="191">
        <v>0</v>
      </c>
      <c r="I782" s="192">
        <f t="shared" si="347"/>
        <v>0</v>
      </c>
      <c r="J782" s="193">
        <v>0</v>
      </c>
      <c r="K782" s="194">
        <f t="shared" si="348"/>
        <v>0</v>
      </c>
      <c r="L782" s="195">
        <v>55</v>
      </c>
      <c r="M782" s="196">
        <f t="shared" si="349"/>
        <v>0</v>
      </c>
      <c r="N782" s="197">
        <f t="shared" si="350"/>
        <v>0</v>
      </c>
      <c r="O782" s="198"/>
      <c r="P782" s="18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</row>
    <row r="783" spans="1:77" s="41" customFormat="1" ht="15.75">
      <c r="A783" s="64">
        <f>IF(F783&lt;&gt;"",1+MAX($A$2:A782),"")</f>
        <v>677</v>
      </c>
      <c r="B783" s="313"/>
      <c r="C783" s="262" t="s">
        <v>656</v>
      </c>
      <c r="D783" s="267">
        <v>2</v>
      </c>
      <c r="E783" s="268">
        <v>0</v>
      </c>
      <c r="F783" s="267">
        <f t="shared" si="346"/>
        <v>2</v>
      </c>
      <c r="G783" s="269" t="s">
        <v>14</v>
      </c>
      <c r="H783" s="191">
        <v>0</v>
      </c>
      <c r="I783" s="192">
        <f t="shared" si="347"/>
        <v>0</v>
      </c>
      <c r="J783" s="193">
        <v>0</v>
      </c>
      <c r="K783" s="194">
        <f t="shared" si="348"/>
        <v>0</v>
      </c>
      <c r="L783" s="195">
        <v>55</v>
      </c>
      <c r="M783" s="196">
        <f t="shared" si="349"/>
        <v>0</v>
      </c>
      <c r="N783" s="197">
        <f t="shared" si="350"/>
        <v>0</v>
      </c>
      <c r="O783" s="198"/>
      <c r="P783" s="18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</row>
    <row r="784" spans="1:77" s="41" customFormat="1" ht="15.75">
      <c r="A784" s="64">
        <f>IF(F784&lt;&gt;"",1+MAX($A$2:A783),"")</f>
        <v>678</v>
      </c>
      <c r="B784" s="313"/>
      <c r="C784" s="262" t="s">
        <v>657</v>
      </c>
      <c r="D784" s="267">
        <v>114</v>
      </c>
      <c r="E784" s="268">
        <v>0</v>
      </c>
      <c r="F784" s="267">
        <f t="shared" si="346"/>
        <v>114</v>
      </c>
      <c r="G784" s="269" t="s">
        <v>14</v>
      </c>
      <c r="H784" s="191">
        <v>0</v>
      </c>
      <c r="I784" s="192">
        <f t="shared" si="347"/>
        <v>0</v>
      </c>
      <c r="J784" s="193">
        <v>0</v>
      </c>
      <c r="K784" s="194">
        <f t="shared" si="348"/>
        <v>0</v>
      </c>
      <c r="L784" s="195">
        <v>55</v>
      </c>
      <c r="M784" s="196">
        <f t="shared" si="349"/>
        <v>0</v>
      </c>
      <c r="N784" s="197">
        <f t="shared" si="350"/>
        <v>0</v>
      </c>
      <c r="O784" s="198"/>
      <c r="P784" s="18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</row>
    <row r="785" spans="1:77" s="41" customFormat="1" ht="15.75">
      <c r="A785" s="64">
        <f>IF(F785&lt;&gt;"",1+MAX($A$2:A784),"")</f>
        <v>679</v>
      </c>
      <c r="B785" s="313"/>
      <c r="C785" s="262" t="s">
        <v>658</v>
      </c>
      <c r="D785" s="267">
        <v>5</v>
      </c>
      <c r="E785" s="268">
        <v>0</v>
      </c>
      <c r="F785" s="267">
        <f t="shared" si="346"/>
        <v>5</v>
      </c>
      <c r="G785" s="269" t="s">
        <v>14</v>
      </c>
      <c r="H785" s="191">
        <v>0</v>
      </c>
      <c r="I785" s="192">
        <f t="shared" si="347"/>
        <v>0</v>
      </c>
      <c r="J785" s="193">
        <v>0</v>
      </c>
      <c r="K785" s="194">
        <f t="shared" si="348"/>
        <v>0</v>
      </c>
      <c r="L785" s="195">
        <v>55</v>
      </c>
      <c r="M785" s="196">
        <f t="shared" si="349"/>
        <v>0</v>
      </c>
      <c r="N785" s="197">
        <f t="shared" si="350"/>
        <v>0</v>
      </c>
      <c r="O785" s="198"/>
      <c r="P785" s="18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</row>
    <row r="786" spans="1:77" s="41" customFormat="1" ht="15.75">
      <c r="A786" s="64" t="str">
        <f>IF(F786&lt;&gt;"",1+MAX($A$2:A785),"")</f>
        <v/>
      </c>
      <c r="B786" s="313"/>
      <c r="C786" s="252" t="s">
        <v>659</v>
      </c>
      <c r="D786" s="267"/>
      <c r="E786" s="268"/>
      <c r="F786" s="267"/>
      <c r="G786" s="269"/>
      <c r="H786" s="191"/>
      <c r="I786" s="192"/>
      <c r="J786" s="193"/>
      <c r="K786" s="194"/>
      <c r="L786" s="195"/>
      <c r="M786" s="196"/>
      <c r="N786" s="197"/>
      <c r="O786" s="198"/>
      <c r="P786" s="18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</row>
    <row r="787" spans="1:77" s="41" customFormat="1" ht="15.75">
      <c r="A787" s="64">
        <f>IF(F787&lt;&gt;"",1+MAX($A$2:A786),"")</f>
        <v>680</v>
      </c>
      <c r="B787" s="313"/>
      <c r="C787" s="262" t="s">
        <v>660</v>
      </c>
      <c r="D787" s="267">
        <v>1</v>
      </c>
      <c r="E787" s="268">
        <v>0</v>
      </c>
      <c r="F787" s="267">
        <f t="shared" ref="F787:F826" si="351">(1+E787)*D787</f>
        <v>1</v>
      </c>
      <c r="G787" s="269" t="s">
        <v>14</v>
      </c>
      <c r="H787" s="191">
        <v>0</v>
      </c>
      <c r="I787" s="192">
        <f t="shared" ref="I787:I826" si="352">H787*F787</f>
        <v>0</v>
      </c>
      <c r="J787" s="193">
        <v>0</v>
      </c>
      <c r="K787" s="194">
        <f t="shared" ref="K787:K826" si="353">J787*F787</f>
        <v>0</v>
      </c>
      <c r="L787" s="195">
        <v>55</v>
      </c>
      <c r="M787" s="196">
        <f t="shared" ref="M787:M826" si="354">L787*K787</f>
        <v>0</v>
      </c>
      <c r="N787" s="197">
        <f t="shared" ref="N787:N826" si="355">M787+I787</f>
        <v>0</v>
      </c>
      <c r="O787" s="198"/>
      <c r="P787" s="18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</row>
    <row r="788" spans="1:77" s="41" customFormat="1" ht="30.95" customHeight="1">
      <c r="A788" s="64">
        <f>IF(F788&lt;&gt;"",1+MAX($A$2:A787),"")</f>
        <v>681</v>
      </c>
      <c r="B788" s="313"/>
      <c r="C788" s="262" t="s">
        <v>661</v>
      </c>
      <c r="D788" s="267">
        <v>1</v>
      </c>
      <c r="E788" s="268">
        <v>0</v>
      </c>
      <c r="F788" s="267">
        <f t="shared" si="351"/>
        <v>1</v>
      </c>
      <c r="G788" s="269" t="s">
        <v>14</v>
      </c>
      <c r="H788" s="191">
        <v>0</v>
      </c>
      <c r="I788" s="192">
        <f t="shared" si="352"/>
        <v>0</v>
      </c>
      <c r="J788" s="193">
        <v>0</v>
      </c>
      <c r="K788" s="194">
        <f t="shared" si="353"/>
        <v>0</v>
      </c>
      <c r="L788" s="195">
        <v>55</v>
      </c>
      <c r="M788" s="196">
        <f t="shared" si="354"/>
        <v>0</v>
      </c>
      <c r="N788" s="197">
        <f t="shared" si="355"/>
        <v>0</v>
      </c>
      <c r="O788" s="198"/>
      <c r="P788" s="18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</row>
    <row r="789" spans="1:77" s="41" customFormat="1" ht="30.95" customHeight="1">
      <c r="A789" s="64">
        <f>IF(F789&lt;&gt;"",1+MAX($A$2:A788),"")</f>
        <v>682</v>
      </c>
      <c r="B789" s="313"/>
      <c r="C789" s="262" t="s">
        <v>662</v>
      </c>
      <c r="D789" s="267">
        <v>1</v>
      </c>
      <c r="E789" s="268">
        <v>0</v>
      </c>
      <c r="F789" s="267">
        <f t="shared" si="351"/>
        <v>1</v>
      </c>
      <c r="G789" s="269" t="s">
        <v>14</v>
      </c>
      <c r="H789" s="191">
        <v>0</v>
      </c>
      <c r="I789" s="192">
        <f t="shared" si="352"/>
        <v>0</v>
      </c>
      <c r="J789" s="193">
        <v>0</v>
      </c>
      <c r="K789" s="194">
        <f t="shared" si="353"/>
        <v>0</v>
      </c>
      <c r="L789" s="195">
        <v>55</v>
      </c>
      <c r="M789" s="196">
        <f t="shared" si="354"/>
        <v>0</v>
      </c>
      <c r="N789" s="197">
        <f t="shared" si="355"/>
        <v>0</v>
      </c>
      <c r="O789" s="198"/>
      <c r="P789" s="18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</row>
    <row r="790" spans="1:77" s="41" customFormat="1" ht="30.95" customHeight="1">
      <c r="A790" s="64">
        <f>IF(F790&lt;&gt;"",1+MAX($A$2:A789),"")</f>
        <v>683</v>
      </c>
      <c r="B790" s="313"/>
      <c r="C790" s="262" t="s">
        <v>663</v>
      </c>
      <c r="D790" s="267">
        <v>1</v>
      </c>
      <c r="E790" s="268">
        <v>0</v>
      </c>
      <c r="F790" s="267">
        <f t="shared" si="351"/>
        <v>1</v>
      </c>
      <c r="G790" s="269" t="s">
        <v>14</v>
      </c>
      <c r="H790" s="191">
        <v>0</v>
      </c>
      <c r="I790" s="192">
        <f t="shared" si="352"/>
        <v>0</v>
      </c>
      <c r="J790" s="193">
        <v>0</v>
      </c>
      <c r="K790" s="194">
        <f t="shared" si="353"/>
        <v>0</v>
      </c>
      <c r="L790" s="195">
        <v>55</v>
      </c>
      <c r="M790" s="196">
        <f t="shared" si="354"/>
        <v>0</v>
      </c>
      <c r="N790" s="197">
        <f t="shared" si="355"/>
        <v>0</v>
      </c>
      <c r="O790" s="198"/>
      <c r="P790" s="18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</row>
    <row r="791" spans="1:77" s="41" customFormat="1" ht="30.95" customHeight="1">
      <c r="A791" s="64">
        <f>IF(F791&lt;&gt;"",1+MAX($A$2:A790),"")</f>
        <v>684</v>
      </c>
      <c r="B791" s="313"/>
      <c r="C791" s="262" t="s">
        <v>664</v>
      </c>
      <c r="D791" s="267">
        <v>1</v>
      </c>
      <c r="E791" s="268">
        <v>0</v>
      </c>
      <c r="F791" s="267">
        <f t="shared" si="351"/>
        <v>1</v>
      </c>
      <c r="G791" s="269" t="s">
        <v>14</v>
      </c>
      <c r="H791" s="191">
        <v>0</v>
      </c>
      <c r="I791" s="192">
        <f t="shared" si="352"/>
        <v>0</v>
      </c>
      <c r="J791" s="193">
        <v>0</v>
      </c>
      <c r="K791" s="194">
        <f t="shared" si="353"/>
        <v>0</v>
      </c>
      <c r="L791" s="195">
        <v>55</v>
      </c>
      <c r="M791" s="196">
        <f t="shared" si="354"/>
        <v>0</v>
      </c>
      <c r="N791" s="197">
        <f t="shared" si="355"/>
        <v>0</v>
      </c>
      <c r="O791" s="198"/>
      <c r="P791" s="18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</row>
    <row r="792" spans="1:77" s="41" customFormat="1" ht="31.5">
      <c r="A792" s="64">
        <f>IF(F792&lt;&gt;"",1+MAX($A$2:A791),"")</f>
        <v>685</v>
      </c>
      <c r="B792" s="313"/>
      <c r="C792" s="262" t="s">
        <v>665</v>
      </c>
      <c r="D792" s="267">
        <v>1</v>
      </c>
      <c r="E792" s="268">
        <v>0</v>
      </c>
      <c r="F792" s="267">
        <f t="shared" si="351"/>
        <v>1</v>
      </c>
      <c r="G792" s="269" t="s">
        <v>14</v>
      </c>
      <c r="H792" s="191">
        <v>0</v>
      </c>
      <c r="I792" s="192">
        <f t="shared" si="352"/>
        <v>0</v>
      </c>
      <c r="J792" s="193">
        <v>0</v>
      </c>
      <c r="K792" s="194">
        <f t="shared" si="353"/>
        <v>0</v>
      </c>
      <c r="L792" s="195">
        <v>55</v>
      </c>
      <c r="M792" s="196">
        <f t="shared" si="354"/>
        <v>0</v>
      </c>
      <c r="N792" s="197">
        <f t="shared" si="355"/>
        <v>0</v>
      </c>
      <c r="O792" s="198"/>
      <c r="P792" s="18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</row>
    <row r="793" spans="1:77" s="41" customFormat="1" ht="31.5">
      <c r="A793" s="64">
        <f>IF(F793&lt;&gt;"",1+MAX($A$2:A792),"")</f>
        <v>686</v>
      </c>
      <c r="B793" s="313"/>
      <c r="C793" s="262" t="s">
        <v>666</v>
      </c>
      <c r="D793" s="267">
        <v>1</v>
      </c>
      <c r="E793" s="268">
        <v>0</v>
      </c>
      <c r="F793" s="267">
        <f t="shared" si="351"/>
        <v>1</v>
      </c>
      <c r="G793" s="269" t="s">
        <v>14</v>
      </c>
      <c r="H793" s="191">
        <v>0</v>
      </c>
      <c r="I793" s="192">
        <f t="shared" si="352"/>
        <v>0</v>
      </c>
      <c r="J793" s="193">
        <v>0</v>
      </c>
      <c r="K793" s="194">
        <f t="shared" si="353"/>
        <v>0</v>
      </c>
      <c r="L793" s="195">
        <v>55</v>
      </c>
      <c r="M793" s="196">
        <f t="shared" si="354"/>
        <v>0</v>
      </c>
      <c r="N793" s="197">
        <f t="shared" si="355"/>
        <v>0</v>
      </c>
      <c r="O793" s="198"/>
      <c r="P793" s="18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</row>
    <row r="794" spans="1:77" s="41" customFormat="1" ht="31.5">
      <c r="A794" s="64">
        <f>IF(F794&lt;&gt;"",1+MAX($A$2:A793),"")</f>
        <v>687</v>
      </c>
      <c r="B794" s="313"/>
      <c r="C794" s="262" t="s">
        <v>667</v>
      </c>
      <c r="D794" s="267">
        <v>1</v>
      </c>
      <c r="E794" s="268">
        <v>0</v>
      </c>
      <c r="F794" s="267">
        <f t="shared" si="351"/>
        <v>1</v>
      </c>
      <c r="G794" s="269" t="s">
        <v>14</v>
      </c>
      <c r="H794" s="191">
        <v>0</v>
      </c>
      <c r="I794" s="192">
        <f t="shared" si="352"/>
        <v>0</v>
      </c>
      <c r="J794" s="193">
        <v>0</v>
      </c>
      <c r="K794" s="194">
        <f t="shared" si="353"/>
        <v>0</v>
      </c>
      <c r="L794" s="195">
        <v>55</v>
      </c>
      <c r="M794" s="196">
        <f t="shared" si="354"/>
        <v>0</v>
      </c>
      <c r="N794" s="197">
        <f t="shared" si="355"/>
        <v>0</v>
      </c>
      <c r="O794" s="198"/>
      <c r="P794" s="18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</row>
    <row r="795" spans="1:77" s="41" customFormat="1" ht="31.5">
      <c r="A795" s="64">
        <f>IF(F795&lt;&gt;"",1+MAX($A$2:A794),"")</f>
        <v>688</v>
      </c>
      <c r="B795" s="313"/>
      <c r="C795" s="262" t="s">
        <v>668</v>
      </c>
      <c r="D795" s="267">
        <v>1</v>
      </c>
      <c r="E795" s="268">
        <v>0</v>
      </c>
      <c r="F795" s="267">
        <f t="shared" si="351"/>
        <v>1</v>
      </c>
      <c r="G795" s="269" t="s">
        <v>14</v>
      </c>
      <c r="H795" s="191">
        <v>0</v>
      </c>
      <c r="I795" s="192">
        <f t="shared" si="352"/>
        <v>0</v>
      </c>
      <c r="J795" s="193">
        <v>0</v>
      </c>
      <c r="K795" s="194">
        <f t="shared" si="353"/>
        <v>0</v>
      </c>
      <c r="L795" s="195">
        <v>55</v>
      </c>
      <c r="M795" s="196">
        <f t="shared" si="354"/>
        <v>0</v>
      </c>
      <c r="N795" s="197">
        <f t="shared" si="355"/>
        <v>0</v>
      </c>
      <c r="O795" s="198"/>
      <c r="P795" s="18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</row>
    <row r="796" spans="1:77" s="41" customFormat="1" ht="31.5">
      <c r="A796" s="64">
        <f>IF(F796&lt;&gt;"",1+MAX($A$2:A795),"")</f>
        <v>689</v>
      </c>
      <c r="B796" s="313"/>
      <c r="C796" s="262" t="s">
        <v>669</v>
      </c>
      <c r="D796" s="267">
        <v>1</v>
      </c>
      <c r="E796" s="268">
        <v>0</v>
      </c>
      <c r="F796" s="267">
        <f t="shared" si="351"/>
        <v>1</v>
      </c>
      <c r="G796" s="269" t="s">
        <v>14</v>
      </c>
      <c r="H796" s="191">
        <v>0</v>
      </c>
      <c r="I796" s="192">
        <f t="shared" si="352"/>
        <v>0</v>
      </c>
      <c r="J796" s="193">
        <v>0</v>
      </c>
      <c r="K796" s="194">
        <f t="shared" si="353"/>
        <v>0</v>
      </c>
      <c r="L796" s="195">
        <v>55</v>
      </c>
      <c r="M796" s="196">
        <f t="shared" si="354"/>
        <v>0</v>
      </c>
      <c r="N796" s="197">
        <f t="shared" si="355"/>
        <v>0</v>
      </c>
      <c r="O796" s="198"/>
      <c r="P796" s="18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</row>
    <row r="797" spans="1:77" s="41" customFormat="1" ht="31.5">
      <c r="A797" s="64">
        <f>IF(F797&lt;&gt;"",1+MAX($A$2:A796),"")</f>
        <v>690</v>
      </c>
      <c r="B797" s="313"/>
      <c r="C797" s="262" t="s">
        <v>670</v>
      </c>
      <c r="D797" s="267">
        <v>1</v>
      </c>
      <c r="E797" s="268">
        <v>0</v>
      </c>
      <c r="F797" s="267">
        <f t="shared" si="351"/>
        <v>1</v>
      </c>
      <c r="G797" s="269" t="s">
        <v>14</v>
      </c>
      <c r="H797" s="191">
        <v>0</v>
      </c>
      <c r="I797" s="192">
        <f t="shared" si="352"/>
        <v>0</v>
      </c>
      <c r="J797" s="193">
        <v>0</v>
      </c>
      <c r="K797" s="194">
        <f t="shared" si="353"/>
        <v>0</v>
      </c>
      <c r="L797" s="195">
        <v>55</v>
      </c>
      <c r="M797" s="196">
        <f t="shared" si="354"/>
        <v>0</v>
      </c>
      <c r="N797" s="197">
        <f t="shared" si="355"/>
        <v>0</v>
      </c>
      <c r="O797" s="198"/>
      <c r="P797" s="18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</row>
    <row r="798" spans="1:77" s="41" customFormat="1" ht="31.5">
      <c r="A798" s="64">
        <f>IF(F798&lt;&gt;"",1+MAX($A$2:A797),"")</f>
        <v>691</v>
      </c>
      <c r="B798" s="313"/>
      <c r="C798" s="262" t="s">
        <v>671</v>
      </c>
      <c r="D798" s="267">
        <v>1</v>
      </c>
      <c r="E798" s="268">
        <v>0</v>
      </c>
      <c r="F798" s="267">
        <f t="shared" si="351"/>
        <v>1</v>
      </c>
      <c r="G798" s="269" t="s">
        <v>14</v>
      </c>
      <c r="H798" s="191">
        <v>0</v>
      </c>
      <c r="I798" s="192">
        <f t="shared" si="352"/>
        <v>0</v>
      </c>
      <c r="J798" s="193">
        <v>0</v>
      </c>
      <c r="K798" s="194">
        <f t="shared" si="353"/>
        <v>0</v>
      </c>
      <c r="L798" s="195">
        <v>55</v>
      </c>
      <c r="M798" s="196">
        <f t="shared" si="354"/>
        <v>0</v>
      </c>
      <c r="N798" s="197">
        <f t="shared" si="355"/>
        <v>0</v>
      </c>
      <c r="O798" s="198"/>
      <c r="P798" s="18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</row>
    <row r="799" spans="1:77" s="41" customFormat="1" ht="15.75">
      <c r="A799" s="64">
        <f>IF(F799&lt;&gt;"",1+MAX($A$2:A798),"")</f>
        <v>692</v>
      </c>
      <c r="B799" s="313"/>
      <c r="C799" s="262" t="s">
        <v>672</v>
      </c>
      <c r="D799" s="267">
        <v>1</v>
      </c>
      <c r="E799" s="268">
        <v>0</v>
      </c>
      <c r="F799" s="267">
        <f t="shared" si="351"/>
        <v>1</v>
      </c>
      <c r="G799" s="269" t="s">
        <v>14</v>
      </c>
      <c r="H799" s="191">
        <v>0</v>
      </c>
      <c r="I799" s="192">
        <f t="shared" si="352"/>
        <v>0</v>
      </c>
      <c r="J799" s="193">
        <v>0</v>
      </c>
      <c r="K799" s="194">
        <f t="shared" si="353"/>
        <v>0</v>
      </c>
      <c r="L799" s="195">
        <v>55</v>
      </c>
      <c r="M799" s="196">
        <f t="shared" si="354"/>
        <v>0</v>
      </c>
      <c r="N799" s="197">
        <f t="shared" si="355"/>
        <v>0</v>
      </c>
      <c r="O799" s="198"/>
      <c r="P799" s="18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</row>
    <row r="800" spans="1:77" s="41" customFormat="1" ht="31.5">
      <c r="A800" s="64">
        <f>IF(F800&lt;&gt;"",1+MAX($A$2:A799),"")</f>
        <v>693</v>
      </c>
      <c r="B800" s="313"/>
      <c r="C800" s="262" t="s">
        <v>673</v>
      </c>
      <c r="D800" s="267">
        <v>2</v>
      </c>
      <c r="E800" s="268">
        <v>0</v>
      </c>
      <c r="F800" s="267">
        <f t="shared" si="351"/>
        <v>2</v>
      </c>
      <c r="G800" s="269" t="s">
        <v>14</v>
      </c>
      <c r="H800" s="191">
        <v>0</v>
      </c>
      <c r="I800" s="192">
        <f t="shared" si="352"/>
        <v>0</v>
      </c>
      <c r="J800" s="193">
        <v>0</v>
      </c>
      <c r="K800" s="194">
        <f t="shared" si="353"/>
        <v>0</v>
      </c>
      <c r="L800" s="195">
        <v>55</v>
      </c>
      <c r="M800" s="196">
        <f t="shared" si="354"/>
        <v>0</v>
      </c>
      <c r="N800" s="197">
        <f t="shared" si="355"/>
        <v>0</v>
      </c>
      <c r="O800" s="198"/>
      <c r="P800" s="18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</row>
    <row r="801" spans="1:77" s="41" customFormat="1" ht="31.5">
      <c r="A801" s="64">
        <f>IF(F801&lt;&gt;"",1+MAX($A$2:A800),"")</f>
        <v>694</v>
      </c>
      <c r="B801" s="313"/>
      <c r="C801" s="262" t="s">
        <v>674</v>
      </c>
      <c r="D801" s="267">
        <v>3</v>
      </c>
      <c r="E801" s="268">
        <v>0</v>
      </c>
      <c r="F801" s="267">
        <f t="shared" si="351"/>
        <v>3</v>
      </c>
      <c r="G801" s="269" t="s">
        <v>14</v>
      </c>
      <c r="H801" s="191">
        <v>0</v>
      </c>
      <c r="I801" s="192">
        <f t="shared" si="352"/>
        <v>0</v>
      </c>
      <c r="J801" s="193">
        <v>0</v>
      </c>
      <c r="K801" s="194">
        <f t="shared" si="353"/>
        <v>0</v>
      </c>
      <c r="L801" s="195">
        <v>55</v>
      </c>
      <c r="M801" s="196">
        <f t="shared" si="354"/>
        <v>0</v>
      </c>
      <c r="N801" s="197">
        <f t="shared" si="355"/>
        <v>0</v>
      </c>
      <c r="O801" s="198"/>
      <c r="P801" s="18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</row>
    <row r="802" spans="1:77" s="41" customFormat="1" ht="31.5">
      <c r="A802" s="64">
        <f>IF(F802&lt;&gt;"",1+MAX($A$2:A801),"")</f>
        <v>695</v>
      </c>
      <c r="B802" s="313"/>
      <c r="C802" s="262" t="s">
        <v>675</v>
      </c>
      <c r="D802" s="267">
        <v>1</v>
      </c>
      <c r="E802" s="268">
        <v>0</v>
      </c>
      <c r="F802" s="267">
        <f t="shared" si="351"/>
        <v>1</v>
      </c>
      <c r="G802" s="269" t="s">
        <v>14</v>
      </c>
      <c r="H802" s="191">
        <v>0</v>
      </c>
      <c r="I802" s="192">
        <f t="shared" si="352"/>
        <v>0</v>
      </c>
      <c r="J802" s="193">
        <v>0</v>
      </c>
      <c r="K802" s="194">
        <f t="shared" si="353"/>
        <v>0</v>
      </c>
      <c r="L802" s="195">
        <v>55</v>
      </c>
      <c r="M802" s="196">
        <f t="shared" si="354"/>
        <v>0</v>
      </c>
      <c r="N802" s="197">
        <f t="shared" si="355"/>
        <v>0</v>
      </c>
      <c r="O802" s="198"/>
      <c r="P802" s="18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</row>
    <row r="803" spans="1:77" s="41" customFormat="1" ht="31.5">
      <c r="A803" s="64">
        <f>IF(F803&lt;&gt;"",1+MAX($A$2:A802),"")</f>
        <v>696</v>
      </c>
      <c r="B803" s="313"/>
      <c r="C803" s="262" t="s">
        <v>676</v>
      </c>
      <c r="D803" s="267">
        <v>2</v>
      </c>
      <c r="E803" s="268">
        <v>0</v>
      </c>
      <c r="F803" s="267">
        <f t="shared" si="351"/>
        <v>2</v>
      </c>
      <c r="G803" s="269" t="s">
        <v>14</v>
      </c>
      <c r="H803" s="191">
        <v>0</v>
      </c>
      <c r="I803" s="192">
        <f t="shared" si="352"/>
        <v>0</v>
      </c>
      <c r="J803" s="193">
        <v>0</v>
      </c>
      <c r="K803" s="194">
        <f t="shared" si="353"/>
        <v>0</v>
      </c>
      <c r="L803" s="195">
        <v>55</v>
      </c>
      <c r="M803" s="196">
        <f t="shared" si="354"/>
        <v>0</v>
      </c>
      <c r="N803" s="197">
        <f t="shared" si="355"/>
        <v>0</v>
      </c>
      <c r="O803" s="198"/>
      <c r="P803" s="18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</row>
    <row r="804" spans="1:77" s="41" customFormat="1" ht="31.5">
      <c r="A804" s="64">
        <f>IF(F804&lt;&gt;"",1+MAX($A$2:A803),"")</f>
        <v>697</v>
      </c>
      <c r="B804" s="313"/>
      <c r="C804" s="262" t="s">
        <v>677</v>
      </c>
      <c r="D804" s="267">
        <v>7</v>
      </c>
      <c r="E804" s="268">
        <v>0</v>
      </c>
      <c r="F804" s="267">
        <f t="shared" si="351"/>
        <v>7</v>
      </c>
      <c r="G804" s="269" t="s">
        <v>14</v>
      </c>
      <c r="H804" s="191">
        <v>0</v>
      </c>
      <c r="I804" s="192">
        <f t="shared" si="352"/>
        <v>0</v>
      </c>
      <c r="J804" s="193">
        <v>0</v>
      </c>
      <c r="K804" s="194">
        <f t="shared" si="353"/>
        <v>0</v>
      </c>
      <c r="L804" s="195">
        <v>55</v>
      </c>
      <c r="M804" s="196">
        <f t="shared" si="354"/>
        <v>0</v>
      </c>
      <c r="N804" s="197">
        <f t="shared" si="355"/>
        <v>0</v>
      </c>
      <c r="O804" s="198"/>
      <c r="P804" s="18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</row>
    <row r="805" spans="1:77" s="41" customFormat="1" ht="30.95" customHeight="1">
      <c r="A805" s="64">
        <f>IF(F805&lt;&gt;"",1+MAX($A$2:A804),"")</f>
        <v>698</v>
      </c>
      <c r="B805" s="313"/>
      <c r="C805" s="262" t="s">
        <v>678</v>
      </c>
      <c r="D805" s="267">
        <v>16</v>
      </c>
      <c r="E805" s="268">
        <v>0</v>
      </c>
      <c r="F805" s="267">
        <f t="shared" si="351"/>
        <v>16</v>
      </c>
      <c r="G805" s="269" t="s">
        <v>14</v>
      </c>
      <c r="H805" s="191">
        <v>0</v>
      </c>
      <c r="I805" s="192">
        <f t="shared" si="352"/>
        <v>0</v>
      </c>
      <c r="J805" s="193">
        <v>0</v>
      </c>
      <c r="K805" s="194">
        <f t="shared" si="353"/>
        <v>0</v>
      </c>
      <c r="L805" s="195">
        <v>55</v>
      </c>
      <c r="M805" s="196">
        <f t="shared" si="354"/>
        <v>0</v>
      </c>
      <c r="N805" s="197">
        <f t="shared" si="355"/>
        <v>0</v>
      </c>
      <c r="O805" s="198"/>
      <c r="P805" s="18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</row>
    <row r="806" spans="1:77" s="41" customFormat="1" ht="30.95" customHeight="1">
      <c r="A806" s="64">
        <f>IF(F806&lt;&gt;"",1+MAX($A$2:A805),"")</f>
        <v>699</v>
      </c>
      <c r="B806" s="313"/>
      <c r="C806" s="262" t="s">
        <v>679</v>
      </c>
      <c r="D806" s="267">
        <v>1</v>
      </c>
      <c r="E806" s="268">
        <v>0</v>
      </c>
      <c r="F806" s="267">
        <f t="shared" si="351"/>
        <v>1</v>
      </c>
      <c r="G806" s="269" t="s">
        <v>14</v>
      </c>
      <c r="H806" s="191">
        <v>0</v>
      </c>
      <c r="I806" s="192">
        <f t="shared" si="352"/>
        <v>0</v>
      </c>
      <c r="J806" s="193">
        <v>0</v>
      </c>
      <c r="K806" s="194">
        <f t="shared" si="353"/>
        <v>0</v>
      </c>
      <c r="L806" s="195">
        <v>55</v>
      </c>
      <c r="M806" s="196">
        <f t="shared" si="354"/>
        <v>0</v>
      </c>
      <c r="N806" s="197">
        <f t="shared" si="355"/>
        <v>0</v>
      </c>
      <c r="O806" s="198"/>
      <c r="P806" s="18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</row>
    <row r="807" spans="1:77" s="41" customFormat="1" ht="30.95" customHeight="1">
      <c r="A807" s="64">
        <f>IF(F807&lt;&gt;"",1+MAX($A$2:A806),"")</f>
        <v>700</v>
      </c>
      <c r="B807" s="313"/>
      <c r="C807" s="262" t="s">
        <v>680</v>
      </c>
      <c r="D807" s="267">
        <v>24</v>
      </c>
      <c r="E807" s="268">
        <v>0</v>
      </c>
      <c r="F807" s="267">
        <f t="shared" si="351"/>
        <v>24</v>
      </c>
      <c r="G807" s="269" t="s">
        <v>14</v>
      </c>
      <c r="H807" s="191">
        <v>0</v>
      </c>
      <c r="I807" s="192">
        <f t="shared" si="352"/>
        <v>0</v>
      </c>
      <c r="J807" s="193">
        <v>0</v>
      </c>
      <c r="K807" s="194">
        <f t="shared" si="353"/>
        <v>0</v>
      </c>
      <c r="L807" s="195">
        <v>55</v>
      </c>
      <c r="M807" s="196">
        <f t="shared" si="354"/>
        <v>0</v>
      </c>
      <c r="N807" s="197">
        <f t="shared" si="355"/>
        <v>0</v>
      </c>
      <c r="O807" s="198"/>
      <c r="P807" s="18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</row>
    <row r="808" spans="1:77" s="41" customFormat="1" ht="30.95" customHeight="1">
      <c r="A808" s="64">
        <f>IF(F808&lt;&gt;"",1+MAX($A$2:A807),"")</f>
        <v>701</v>
      </c>
      <c r="B808" s="313"/>
      <c r="C808" s="262" t="s">
        <v>681</v>
      </c>
      <c r="D808" s="267">
        <v>9</v>
      </c>
      <c r="E808" s="268">
        <v>0</v>
      </c>
      <c r="F808" s="267">
        <f t="shared" si="351"/>
        <v>9</v>
      </c>
      <c r="G808" s="269" t="s">
        <v>14</v>
      </c>
      <c r="H808" s="191">
        <v>0</v>
      </c>
      <c r="I808" s="192">
        <f t="shared" si="352"/>
        <v>0</v>
      </c>
      <c r="J808" s="193">
        <v>0</v>
      </c>
      <c r="K808" s="194">
        <f t="shared" si="353"/>
        <v>0</v>
      </c>
      <c r="L808" s="195">
        <v>55</v>
      </c>
      <c r="M808" s="196">
        <f t="shared" si="354"/>
        <v>0</v>
      </c>
      <c r="N808" s="197">
        <f t="shared" si="355"/>
        <v>0</v>
      </c>
      <c r="O808" s="198"/>
      <c r="P808" s="18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</row>
    <row r="809" spans="1:77" s="41" customFormat="1" ht="31.5">
      <c r="A809" s="64">
        <f>IF(F809&lt;&gt;"",1+MAX($A$2:A808),"")</f>
        <v>702</v>
      </c>
      <c r="B809" s="313"/>
      <c r="C809" s="262" t="s">
        <v>682</v>
      </c>
      <c r="D809" s="267">
        <v>19</v>
      </c>
      <c r="E809" s="268">
        <v>0</v>
      </c>
      <c r="F809" s="267">
        <f t="shared" si="351"/>
        <v>19</v>
      </c>
      <c r="G809" s="269" t="s">
        <v>14</v>
      </c>
      <c r="H809" s="191">
        <v>0</v>
      </c>
      <c r="I809" s="192">
        <f t="shared" si="352"/>
        <v>0</v>
      </c>
      <c r="J809" s="193">
        <v>0</v>
      </c>
      <c r="K809" s="194">
        <f t="shared" si="353"/>
        <v>0</v>
      </c>
      <c r="L809" s="195">
        <v>55</v>
      </c>
      <c r="M809" s="196">
        <f t="shared" si="354"/>
        <v>0</v>
      </c>
      <c r="N809" s="197">
        <f t="shared" si="355"/>
        <v>0</v>
      </c>
      <c r="O809" s="198"/>
      <c r="P809" s="18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</row>
    <row r="810" spans="1:77" s="41" customFormat="1" ht="31.5">
      <c r="A810" s="64">
        <f>IF(F810&lt;&gt;"",1+MAX($A$2:A809),"")</f>
        <v>703</v>
      </c>
      <c r="B810" s="313"/>
      <c r="C810" s="262" t="s">
        <v>683</v>
      </c>
      <c r="D810" s="267">
        <v>7</v>
      </c>
      <c r="E810" s="268">
        <v>0</v>
      </c>
      <c r="F810" s="267">
        <f t="shared" si="351"/>
        <v>7</v>
      </c>
      <c r="G810" s="269" t="s">
        <v>14</v>
      </c>
      <c r="H810" s="191">
        <v>0</v>
      </c>
      <c r="I810" s="192">
        <f t="shared" si="352"/>
        <v>0</v>
      </c>
      <c r="J810" s="193">
        <v>0</v>
      </c>
      <c r="K810" s="194">
        <f t="shared" si="353"/>
        <v>0</v>
      </c>
      <c r="L810" s="195">
        <v>55</v>
      </c>
      <c r="M810" s="196">
        <f t="shared" si="354"/>
        <v>0</v>
      </c>
      <c r="N810" s="197">
        <f t="shared" si="355"/>
        <v>0</v>
      </c>
      <c r="O810" s="198"/>
      <c r="P810" s="18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</row>
    <row r="811" spans="1:77" s="41" customFormat="1" ht="31.5">
      <c r="A811" s="64">
        <f>IF(F811&lt;&gt;"",1+MAX($A$2:A810),"")</f>
        <v>704</v>
      </c>
      <c r="B811" s="313"/>
      <c r="C811" s="262" t="s">
        <v>684</v>
      </c>
      <c r="D811" s="267">
        <v>1</v>
      </c>
      <c r="E811" s="268">
        <v>0</v>
      </c>
      <c r="F811" s="267">
        <f t="shared" si="351"/>
        <v>1</v>
      </c>
      <c r="G811" s="269" t="s">
        <v>14</v>
      </c>
      <c r="H811" s="191">
        <v>0</v>
      </c>
      <c r="I811" s="192">
        <f t="shared" si="352"/>
        <v>0</v>
      </c>
      <c r="J811" s="193">
        <v>0</v>
      </c>
      <c r="K811" s="194">
        <f t="shared" si="353"/>
        <v>0</v>
      </c>
      <c r="L811" s="195">
        <v>55</v>
      </c>
      <c r="M811" s="196">
        <f t="shared" si="354"/>
        <v>0</v>
      </c>
      <c r="N811" s="197">
        <f t="shared" si="355"/>
        <v>0</v>
      </c>
      <c r="O811" s="198"/>
      <c r="P811" s="18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</row>
    <row r="812" spans="1:77" s="41" customFormat="1" ht="31.5">
      <c r="A812" s="64">
        <f>IF(F812&lt;&gt;"",1+MAX($A$2:A811),"")</f>
        <v>705</v>
      </c>
      <c r="B812" s="313"/>
      <c r="C812" s="262" t="s">
        <v>685</v>
      </c>
      <c r="D812" s="267">
        <v>1</v>
      </c>
      <c r="E812" s="268">
        <v>0</v>
      </c>
      <c r="F812" s="267">
        <f t="shared" si="351"/>
        <v>1</v>
      </c>
      <c r="G812" s="269" t="s">
        <v>14</v>
      </c>
      <c r="H812" s="191">
        <v>0</v>
      </c>
      <c r="I812" s="192">
        <f t="shared" si="352"/>
        <v>0</v>
      </c>
      <c r="J812" s="193">
        <v>0</v>
      </c>
      <c r="K812" s="194">
        <f t="shared" si="353"/>
        <v>0</v>
      </c>
      <c r="L812" s="195">
        <v>55</v>
      </c>
      <c r="M812" s="196">
        <f t="shared" si="354"/>
        <v>0</v>
      </c>
      <c r="N812" s="197">
        <f t="shared" si="355"/>
        <v>0</v>
      </c>
      <c r="O812" s="198"/>
      <c r="P812" s="18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</row>
    <row r="813" spans="1:77" s="41" customFormat="1" ht="31.5">
      <c r="A813" s="64">
        <f>IF(F813&lt;&gt;"",1+MAX($A$2:A812),"")</f>
        <v>706</v>
      </c>
      <c r="B813" s="313"/>
      <c r="C813" s="262" t="s">
        <v>686</v>
      </c>
      <c r="D813" s="267">
        <v>2</v>
      </c>
      <c r="E813" s="268">
        <v>0</v>
      </c>
      <c r="F813" s="267">
        <f t="shared" si="351"/>
        <v>2</v>
      </c>
      <c r="G813" s="269" t="s">
        <v>14</v>
      </c>
      <c r="H813" s="191">
        <v>0</v>
      </c>
      <c r="I813" s="192">
        <f t="shared" si="352"/>
        <v>0</v>
      </c>
      <c r="J813" s="193">
        <v>0</v>
      </c>
      <c r="K813" s="194">
        <f t="shared" si="353"/>
        <v>0</v>
      </c>
      <c r="L813" s="195">
        <v>55</v>
      </c>
      <c r="M813" s="196">
        <f t="shared" si="354"/>
        <v>0</v>
      </c>
      <c r="N813" s="197">
        <f t="shared" si="355"/>
        <v>0</v>
      </c>
      <c r="O813" s="198"/>
      <c r="P813" s="18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</row>
    <row r="814" spans="1:77" s="41" customFormat="1" ht="31.5">
      <c r="A814" s="64">
        <f>IF(F814&lt;&gt;"",1+MAX($A$2:A813),"")</f>
        <v>707</v>
      </c>
      <c r="B814" s="313"/>
      <c r="C814" s="262" t="s">
        <v>687</v>
      </c>
      <c r="D814" s="267">
        <v>1</v>
      </c>
      <c r="E814" s="268">
        <v>0</v>
      </c>
      <c r="F814" s="267">
        <f t="shared" si="351"/>
        <v>1</v>
      </c>
      <c r="G814" s="269" t="s">
        <v>14</v>
      </c>
      <c r="H814" s="191">
        <v>0</v>
      </c>
      <c r="I814" s="192">
        <f t="shared" si="352"/>
        <v>0</v>
      </c>
      <c r="J814" s="193">
        <v>0</v>
      </c>
      <c r="K814" s="194">
        <f t="shared" si="353"/>
        <v>0</v>
      </c>
      <c r="L814" s="195">
        <v>55</v>
      </c>
      <c r="M814" s="196">
        <f t="shared" si="354"/>
        <v>0</v>
      </c>
      <c r="N814" s="197">
        <f t="shared" si="355"/>
        <v>0</v>
      </c>
      <c r="O814" s="198"/>
      <c r="P814" s="18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</row>
    <row r="815" spans="1:77" s="41" customFormat="1" ht="31.5">
      <c r="A815" s="64">
        <f>IF(F815&lt;&gt;"",1+MAX($A$2:A814),"")</f>
        <v>708</v>
      </c>
      <c r="B815" s="313"/>
      <c r="C815" s="262" t="s">
        <v>688</v>
      </c>
      <c r="D815" s="267">
        <v>1</v>
      </c>
      <c r="E815" s="268">
        <v>0</v>
      </c>
      <c r="F815" s="267">
        <f t="shared" si="351"/>
        <v>1</v>
      </c>
      <c r="G815" s="269" t="s">
        <v>14</v>
      </c>
      <c r="H815" s="191">
        <v>0</v>
      </c>
      <c r="I815" s="192">
        <f t="shared" si="352"/>
        <v>0</v>
      </c>
      <c r="J815" s="193">
        <v>0</v>
      </c>
      <c r="K815" s="194">
        <f t="shared" si="353"/>
        <v>0</v>
      </c>
      <c r="L815" s="195">
        <v>55</v>
      </c>
      <c r="M815" s="196">
        <f t="shared" si="354"/>
        <v>0</v>
      </c>
      <c r="N815" s="197">
        <f t="shared" si="355"/>
        <v>0</v>
      </c>
      <c r="O815" s="198"/>
      <c r="P815" s="18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</row>
    <row r="816" spans="1:77" s="41" customFormat="1" ht="31.5">
      <c r="A816" s="64">
        <f>IF(F816&lt;&gt;"",1+MAX($A$2:A815),"")</f>
        <v>709</v>
      </c>
      <c r="B816" s="313"/>
      <c r="C816" s="262" t="s">
        <v>689</v>
      </c>
      <c r="D816" s="267">
        <v>11</v>
      </c>
      <c r="E816" s="268">
        <v>0</v>
      </c>
      <c r="F816" s="267">
        <f t="shared" si="351"/>
        <v>11</v>
      </c>
      <c r="G816" s="269" t="s">
        <v>14</v>
      </c>
      <c r="H816" s="191">
        <v>0</v>
      </c>
      <c r="I816" s="192">
        <f t="shared" si="352"/>
        <v>0</v>
      </c>
      <c r="J816" s="193">
        <v>0</v>
      </c>
      <c r="K816" s="194">
        <f t="shared" si="353"/>
        <v>0</v>
      </c>
      <c r="L816" s="195">
        <v>55</v>
      </c>
      <c r="M816" s="196">
        <f t="shared" si="354"/>
        <v>0</v>
      </c>
      <c r="N816" s="197">
        <f t="shared" si="355"/>
        <v>0</v>
      </c>
      <c r="O816" s="198"/>
      <c r="P816" s="18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</row>
    <row r="817" spans="1:77" s="41" customFormat="1" ht="31.5">
      <c r="A817" s="64">
        <f>IF(F817&lt;&gt;"",1+MAX($A$2:A816),"")</f>
        <v>710</v>
      </c>
      <c r="B817" s="313"/>
      <c r="C817" s="262" t="s">
        <v>690</v>
      </c>
      <c r="D817" s="267">
        <v>13</v>
      </c>
      <c r="E817" s="268">
        <v>0</v>
      </c>
      <c r="F817" s="267">
        <f t="shared" si="351"/>
        <v>13</v>
      </c>
      <c r="G817" s="269" t="s">
        <v>14</v>
      </c>
      <c r="H817" s="191">
        <v>0</v>
      </c>
      <c r="I817" s="192">
        <f t="shared" si="352"/>
        <v>0</v>
      </c>
      <c r="J817" s="193">
        <v>0</v>
      </c>
      <c r="K817" s="194">
        <f t="shared" si="353"/>
        <v>0</v>
      </c>
      <c r="L817" s="195">
        <v>55</v>
      </c>
      <c r="M817" s="196">
        <f t="shared" si="354"/>
        <v>0</v>
      </c>
      <c r="N817" s="197">
        <f t="shared" si="355"/>
        <v>0</v>
      </c>
      <c r="O817" s="198"/>
      <c r="P817" s="18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</row>
    <row r="818" spans="1:77" s="41" customFormat="1" ht="31.5">
      <c r="A818" s="64">
        <f>IF(F818&lt;&gt;"",1+MAX($A$2:A817),"")</f>
        <v>711</v>
      </c>
      <c r="B818" s="313"/>
      <c r="C818" s="262" t="s">
        <v>691</v>
      </c>
      <c r="D818" s="267">
        <v>2</v>
      </c>
      <c r="E818" s="268">
        <v>0</v>
      </c>
      <c r="F818" s="267">
        <f t="shared" si="351"/>
        <v>2</v>
      </c>
      <c r="G818" s="269" t="s">
        <v>14</v>
      </c>
      <c r="H818" s="191">
        <v>0</v>
      </c>
      <c r="I818" s="192">
        <f t="shared" si="352"/>
        <v>0</v>
      </c>
      <c r="J818" s="193">
        <v>0</v>
      </c>
      <c r="K818" s="194">
        <f t="shared" si="353"/>
        <v>0</v>
      </c>
      <c r="L818" s="195">
        <v>55</v>
      </c>
      <c r="M818" s="196">
        <f t="shared" si="354"/>
        <v>0</v>
      </c>
      <c r="N818" s="197">
        <f t="shared" si="355"/>
        <v>0</v>
      </c>
      <c r="O818" s="198"/>
      <c r="P818" s="18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</row>
    <row r="819" spans="1:77" s="41" customFormat="1" ht="31.5">
      <c r="A819" s="64">
        <f>IF(F819&lt;&gt;"",1+MAX($A$2:A818),"")</f>
        <v>712</v>
      </c>
      <c r="B819" s="313"/>
      <c r="C819" s="262" t="s">
        <v>692</v>
      </c>
      <c r="D819" s="267">
        <v>1</v>
      </c>
      <c r="E819" s="268">
        <v>0</v>
      </c>
      <c r="F819" s="267">
        <f t="shared" si="351"/>
        <v>1</v>
      </c>
      <c r="G819" s="269" t="s">
        <v>14</v>
      </c>
      <c r="H819" s="191">
        <v>0</v>
      </c>
      <c r="I819" s="192">
        <f t="shared" si="352"/>
        <v>0</v>
      </c>
      <c r="J819" s="193">
        <v>0</v>
      </c>
      <c r="K819" s="194">
        <f t="shared" si="353"/>
        <v>0</v>
      </c>
      <c r="L819" s="195">
        <v>55</v>
      </c>
      <c r="M819" s="196">
        <f t="shared" si="354"/>
        <v>0</v>
      </c>
      <c r="N819" s="197">
        <f t="shared" si="355"/>
        <v>0</v>
      </c>
      <c r="O819" s="198"/>
      <c r="P819" s="18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</row>
    <row r="820" spans="1:77" s="41" customFormat="1" ht="31.5">
      <c r="A820" s="64">
        <f>IF(F820&lt;&gt;"",1+MAX($A$2:A819),"")</f>
        <v>713</v>
      </c>
      <c r="B820" s="313"/>
      <c r="C820" s="262" t="s">
        <v>693</v>
      </c>
      <c r="D820" s="267">
        <v>1</v>
      </c>
      <c r="E820" s="268">
        <v>0</v>
      </c>
      <c r="F820" s="267">
        <f t="shared" si="351"/>
        <v>1</v>
      </c>
      <c r="G820" s="269" t="s">
        <v>14</v>
      </c>
      <c r="H820" s="191">
        <v>0</v>
      </c>
      <c r="I820" s="192">
        <f t="shared" si="352"/>
        <v>0</v>
      </c>
      <c r="J820" s="193">
        <v>0</v>
      </c>
      <c r="K820" s="194">
        <f t="shared" si="353"/>
        <v>0</v>
      </c>
      <c r="L820" s="195">
        <v>55</v>
      </c>
      <c r="M820" s="196">
        <f t="shared" si="354"/>
        <v>0</v>
      </c>
      <c r="N820" s="197">
        <f t="shared" si="355"/>
        <v>0</v>
      </c>
      <c r="O820" s="198"/>
      <c r="P820" s="18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</row>
    <row r="821" spans="1:77" s="41" customFormat="1" ht="31.5">
      <c r="A821" s="64">
        <f>IF(F821&lt;&gt;"",1+MAX($A$2:A820),"")</f>
        <v>714</v>
      </c>
      <c r="B821" s="313"/>
      <c r="C821" s="262" t="s">
        <v>694</v>
      </c>
      <c r="D821" s="267">
        <v>1</v>
      </c>
      <c r="E821" s="268">
        <v>0</v>
      </c>
      <c r="F821" s="267">
        <f t="shared" si="351"/>
        <v>1</v>
      </c>
      <c r="G821" s="269" t="s">
        <v>14</v>
      </c>
      <c r="H821" s="191">
        <v>0</v>
      </c>
      <c r="I821" s="192">
        <f t="shared" si="352"/>
        <v>0</v>
      </c>
      <c r="J821" s="193">
        <v>0</v>
      </c>
      <c r="K821" s="194">
        <f t="shared" si="353"/>
        <v>0</v>
      </c>
      <c r="L821" s="195">
        <v>55</v>
      </c>
      <c r="M821" s="196">
        <f t="shared" si="354"/>
        <v>0</v>
      </c>
      <c r="N821" s="197">
        <f t="shared" si="355"/>
        <v>0</v>
      </c>
      <c r="O821" s="198"/>
      <c r="P821" s="18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</row>
    <row r="822" spans="1:77" s="41" customFormat="1" ht="31.5">
      <c r="A822" s="64">
        <f>IF(F822&lt;&gt;"",1+MAX($A$2:A821),"")</f>
        <v>715</v>
      </c>
      <c r="B822" s="313"/>
      <c r="C822" s="262" t="s">
        <v>695</v>
      </c>
      <c r="D822" s="267">
        <v>1</v>
      </c>
      <c r="E822" s="268">
        <v>0</v>
      </c>
      <c r="F822" s="267">
        <f t="shared" si="351"/>
        <v>1</v>
      </c>
      <c r="G822" s="269" t="s">
        <v>14</v>
      </c>
      <c r="H822" s="191">
        <v>0</v>
      </c>
      <c r="I822" s="192">
        <f t="shared" si="352"/>
        <v>0</v>
      </c>
      <c r="J822" s="193">
        <v>0</v>
      </c>
      <c r="K822" s="194">
        <f t="shared" si="353"/>
        <v>0</v>
      </c>
      <c r="L822" s="195">
        <v>55</v>
      </c>
      <c r="M822" s="196">
        <f t="shared" si="354"/>
        <v>0</v>
      </c>
      <c r="N822" s="197">
        <f t="shared" si="355"/>
        <v>0</v>
      </c>
      <c r="O822" s="198"/>
      <c r="P822" s="18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</row>
    <row r="823" spans="1:77" s="41" customFormat="1" ht="31.5">
      <c r="A823" s="64">
        <f>IF(F823&lt;&gt;"",1+MAX($A$2:A822),"")</f>
        <v>716</v>
      </c>
      <c r="B823" s="313"/>
      <c r="C823" s="262" t="s">
        <v>696</v>
      </c>
      <c r="D823" s="267">
        <v>1</v>
      </c>
      <c r="E823" s="268">
        <v>0</v>
      </c>
      <c r="F823" s="267">
        <f t="shared" si="351"/>
        <v>1</v>
      </c>
      <c r="G823" s="269" t="s">
        <v>14</v>
      </c>
      <c r="H823" s="191">
        <v>0</v>
      </c>
      <c r="I823" s="192">
        <f t="shared" si="352"/>
        <v>0</v>
      </c>
      <c r="J823" s="193">
        <v>0</v>
      </c>
      <c r="K823" s="194">
        <f t="shared" si="353"/>
        <v>0</v>
      </c>
      <c r="L823" s="195">
        <v>55</v>
      </c>
      <c r="M823" s="196">
        <f t="shared" si="354"/>
        <v>0</v>
      </c>
      <c r="N823" s="197">
        <f t="shared" si="355"/>
        <v>0</v>
      </c>
      <c r="O823" s="198"/>
      <c r="P823" s="18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</row>
    <row r="824" spans="1:77" s="41" customFormat="1" ht="15.75">
      <c r="A824" s="64">
        <f>IF(F824&lt;&gt;"",1+MAX($A$2:A823),"")</f>
        <v>717</v>
      </c>
      <c r="B824" s="313"/>
      <c r="C824" s="262" t="s">
        <v>697</v>
      </c>
      <c r="D824" s="267">
        <v>14</v>
      </c>
      <c r="E824" s="268">
        <v>0</v>
      </c>
      <c r="F824" s="267">
        <f t="shared" si="351"/>
        <v>14</v>
      </c>
      <c r="G824" s="269" t="s">
        <v>14</v>
      </c>
      <c r="H824" s="191">
        <v>0</v>
      </c>
      <c r="I824" s="192">
        <f t="shared" si="352"/>
        <v>0</v>
      </c>
      <c r="J824" s="193">
        <v>0</v>
      </c>
      <c r="K824" s="194">
        <f t="shared" si="353"/>
        <v>0</v>
      </c>
      <c r="L824" s="195">
        <v>55</v>
      </c>
      <c r="M824" s="196">
        <f t="shared" si="354"/>
        <v>0</v>
      </c>
      <c r="N824" s="197">
        <f t="shared" si="355"/>
        <v>0</v>
      </c>
      <c r="O824" s="198"/>
      <c r="P824" s="18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</row>
    <row r="825" spans="1:77" s="41" customFormat="1" ht="15.75">
      <c r="A825" s="64">
        <f>IF(F825&lt;&gt;"",1+MAX($A$2:A824),"")</f>
        <v>718</v>
      </c>
      <c r="B825" s="313"/>
      <c r="C825" s="262" t="s">
        <v>698</v>
      </c>
      <c r="D825" s="267">
        <v>2</v>
      </c>
      <c r="E825" s="268">
        <v>0</v>
      </c>
      <c r="F825" s="267">
        <f t="shared" si="351"/>
        <v>2</v>
      </c>
      <c r="G825" s="269" t="s">
        <v>14</v>
      </c>
      <c r="H825" s="191">
        <v>0</v>
      </c>
      <c r="I825" s="192">
        <f t="shared" si="352"/>
        <v>0</v>
      </c>
      <c r="J825" s="193">
        <v>0</v>
      </c>
      <c r="K825" s="194">
        <f t="shared" si="353"/>
        <v>0</v>
      </c>
      <c r="L825" s="195">
        <v>55</v>
      </c>
      <c r="M825" s="196">
        <f t="shared" si="354"/>
        <v>0</v>
      </c>
      <c r="N825" s="197">
        <f t="shared" si="355"/>
        <v>0</v>
      </c>
      <c r="O825" s="198"/>
      <c r="P825" s="18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</row>
    <row r="826" spans="1:77" s="41" customFormat="1" ht="31.5">
      <c r="A826" s="64">
        <f>IF(F826&lt;&gt;"",1+MAX($A$2:A825),"")</f>
        <v>719</v>
      </c>
      <c r="B826" s="313"/>
      <c r="C826" s="262" t="s">
        <v>699</v>
      </c>
      <c r="D826" s="267">
        <v>1</v>
      </c>
      <c r="E826" s="268">
        <v>0</v>
      </c>
      <c r="F826" s="267">
        <f t="shared" si="351"/>
        <v>1</v>
      </c>
      <c r="G826" s="269" t="s">
        <v>14</v>
      </c>
      <c r="H826" s="191">
        <v>0</v>
      </c>
      <c r="I826" s="192">
        <f t="shared" si="352"/>
        <v>0</v>
      </c>
      <c r="J826" s="193">
        <v>0</v>
      </c>
      <c r="K826" s="194">
        <f t="shared" si="353"/>
        <v>0</v>
      </c>
      <c r="L826" s="195">
        <v>55</v>
      </c>
      <c r="M826" s="196">
        <f t="shared" si="354"/>
        <v>0</v>
      </c>
      <c r="N826" s="197">
        <f t="shared" si="355"/>
        <v>0</v>
      </c>
      <c r="O826" s="198"/>
      <c r="P826" s="18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</row>
    <row r="827" spans="1:77" s="41" customFormat="1" ht="15.75">
      <c r="A827" s="64" t="str">
        <f>IF(F827&lt;&gt;"",1+MAX($A$2:A826),"")</f>
        <v/>
      </c>
      <c r="B827" s="313"/>
      <c r="C827" s="252" t="s">
        <v>393</v>
      </c>
      <c r="D827" s="267"/>
      <c r="E827" s="268"/>
      <c r="F827" s="267"/>
      <c r="G827" s="269"/>
      <c r="H827" s="191"/>
      <c r="I827" s="192"/>
      <c r="J827" s="193"/>
      <c r="K827" s="194"/>
      <c r="L827" s="195"/>
      <c r="M827" s="196"/>
      <c r="N827" s="197"/>
      <c r="O827" s="198"/>
      <c r="P827" s="18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</row>
    <row r="828" spans="1:77" s="41" customFormat="1" ht="15.75">
      <c r="A828" s="64">
        <f>IF(F828&lt;&gt;"",1+MAX($A$2:A827),"")</f>
        <v>720</v>
      </c>
      <c r="B828" s="313"/>
      <c r="C828" s="262" t="s">
        <v>700</v>
      </c>
      <c r="D828" s="267">
        <v>3187</v>
      </c>
      <c r="E828" s="268">
        <v>0.05</v>
      </c>
      <c r="F828" s="267">
        <f t="shared" ref="F828" si="356">(1+E828)*D828</f>
        <v>3346.3500000000004</v>
      </c>
      <c r="G828" s="269" t="s">
        <v>701</v>
      </c>
      <c r="H828" s="191">
        <v>0</v>
      </c>
      <c r="I828" s="192">
        <f t="shared" ref="I828" si="357">H828*F828</f>
        <v>0</v>
      </c>
      <c r="J828" s="193">
        <v>0</v>
      </c>
      <c r="K828" s="194">
        <f t="shared" ref="K828" si="358">J828*F828</f>
        <v>0</v>
      </c>
      <c r="L828" s="195">
        <v>55</v>
      </c>
      <c r="M828" s="196">
        <f t="shared" ref="M828" si="359">L828*K828</f>
        <v>0</v>
      </c>
      <c r="N828" s="197">
        <f t="shared" ref="N828" si="360">M828+I828</f>
        <v>0</v>
      </c>
      <c r="O828" s="198"/>
      <c r="P828" s="18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</row>
    <row r="829" spans="1:77" s="41" customFormat="1" ht="15.75">
      <c r="A829" s="64" t="str">
        <f>IF(F829&lt;&gt;"",1+MAX($A$2:A828),"")</f>
        <v/>
      </c>
      <c r="B829" s="313"/>
      <c r="C829" s="252" t="s">
        <v>498</v>
      </c>
      <c r="D829" s="267"/>
      <c r="E829" s="268"/>
      <c r="F829" s="267"/>
      <c r="G829" s="269"/>
      <c r="H829" s="191"/>
      <c r="I829" s="192"/>
      <c r="J829" s="193"/>
      <c r="K829" s="194"/>
      <c r="L829" s="195"/>
      <c r="M829" s="196"/>
      <c r="N829" s="197"/>
      <c r="O829" s="198"/>
      <c r="P829" s="18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</row>
    <row r="830" spans="1:77" s="41" customFormat="1" ht="15.75">
      <c r="A830" s="64">
        <f>IF(F830&lt;&gt;"",1+MAX($A$2:A829),"")</f>
        <v>721</v>
      </c>
      <c r="B830" s="313"/>
      <c r="C830" s="262" t="s">
        <v>702</v>
      </c>
      <c r="D830" s="267">
        <v>20</v>
      </c>
      <c r="E830" s="268">
        <v>0</v>
      </c>
      <c r="F830" s="267">
        <f t="shared" ref="F830:F845" si="361">(1+E830)*D830</f>
        <v>20</v>
      </c>
      <c r="G830" s="269" t="s">
        <v>14</v>
      </c>
      <c r="H830" s="191">
        <v>0</v>
      </c>
      <c r="I830" s="192">
        <f t="shared" ref="I830:I845" si="362">H830*F830</f>
        <v>0</v>
      </c>
      <c r="J830" s="193">
        <v>0</v>
      </c>
      <c r="K830" s="194">
        <f t="shared" ref="K830:K845" si="363">J830*F830</f>
        <v>0</v>
      </c>
      <c r="L830" s="195">
        <v>55</v>
      </c>
      <c r="M830" s="196">
        <f t="shared" ref="M830:M845" si="364">L830*K830</f>
        <v>0</v>
      </c>
      <c r="N830" s="197">
        <f t="shared" ref="N830:N845" si="365">M830+I830</f>
        <v>0</v>
      </c>
      <c r="O830" s="198"/>
      <c r="P830" s="18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</row>
    <row r="831" spans="1:77" s="41" customFormat="1" ht="15.75">
      <c r="A831" s="64">
        <f>IF(F831&lt;&gt;"",1+MAX($A$2:A830),"")</f>
        <v>722</v>
      </c>
      <c r="B831" s="313"/>
      <c r="C831" s="262" t="s">
        <v>703</v>
      </c>
      <c r="D831" s="267">
        <v>71</v>
      </c>
      <c r="E831" s="268">
        <v>0</v>
      </c>
      <c r="F831" s="267">
        <f t="shared" si="361"/>
        <v>71</v>
      </c>
      <c r="G831" s="269" t="s">
        <v>14</v>
      </c>
      <c r="H831" s="191">
        <v>0</v>
      </c>
      <c r="I831" s="192">
        <f t="shared" si="362"/>
        <v>0</v>
      </c>
      <c r="J831" s="193">
        <v>0</v>
      </c>
      <c r="K831" s="194">
        <f t="shared" si="363"/>
        <v>0</v>
      </c>
      <c r="L831" s="195">
        <v>55</v>
      </c>
      <c r="M831" s="196">
        <f t="shared" si="364"/>
        <v>0</v>
      </c>
      <c r="N831" s="197">
        <f t="shared" si="365"/>
        <v>0</v>
      </c>
      <c r="O831" s="198"/>
      <c r="P831" s="18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</row>
    <row r="832" spans="1:77" s="41" customFormat="1" ht="15.75">
      <c r="A832" s="64">
        <f>IF(F832&lt;&gt;"",1+MAX($A$2:A831),"")</f>
        <v>723</v>
      </c>
      <c r="B832" s="313"/>
      <c r="C832" s="262" t="s">
        <v>704</v>
      </c>
      <c r="D832" s="267">
        <v>59</v>
      </c>
      <c r="E832" s="268">
        <v>0</v>
      </c>
      <c r="F832" s="267">
        <f t="shared" si="361"/>
        <v>59</v>
      </c>
      <c r="G832" s="269" t="s">
        <v>14</v>
      </c>
      <c r="H832" s="191">
        <v>0</v>
      </c>
      <c r="I832" s="192">
        <f t="shared" si="362"/>
        <v>0</v>
      </c>
      <c r="J832" s="193">
        <v>0</v>
      </c>
      <c r="K832" s="194">
        <f t="shared" si="363"/>
        <v>0</v>
      </c>
      <c r="L832" s="195">
        <v>55</v>
      </c>
      <c r="M832" s="196">
        <f t="shared" si="364"/>
        <v>0</v>
      </c>
      <c r="N832" s="197">
        <f t="shared" si="365"/>
        <v>0</v>
      </c>
      <c r="O832" s="198"/>
      <c r="P832" s="18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</row>
    <row r="833" spans="1:77" s="41" customFormat="1" ht="15.75">
      <c r="A833" s="64">
        <f>IF(F833&lt;&gt;"",1+MAX($A$2:A832),"")</f>
        <v>724</v>
      </c>
      <c r="B833" s="313"/>
      <c r="C833" s="262" t="s">
        <v>705</v>
      </c>
      <c r="D833" s="267">
        <v>88</v>
      </c>
      <c r="E833" s="268">
        <v>0</v>
      </c>
      <c r="F833" s="267">
        <f t="shared" si="361"/>
        <v>88</v>
      </c>
      <c r="G833" s="269" t="s">
        <v>14</v>
      </c>
      <c r="H833" s="191">
        <v>0</v>
      </c>
      <c r="I833" s="192">
        <f t="shared" si="362"/>
        <v>0</v>
      </c>
      <c r="J833" s="193">
        <v>0</v>
      </c>
      <c r="K833" s="194">
        <f t="shared" si="363"/>
        <v>0</v>
      </c>
      <c r="L833" s="195">
        <v>55</v>
      </c>
      <c r="M833" s="196">
        <f t="shared" si="364"/>
        <v>0</v>
      </c>
      <c r="N833" s="197">
        <f t="shared" si="365"/>
        <v>0</v>
      </c>
      <c r="O833" s="198"/>
      <c r="P833" s="18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</row>
    <row r="834" spans="1:77" s="41" customFormat="1" ht="15.75">
      <c r="A834" s="64">
        <f>IF(F834&lt;&gt;"",1+MAX($A$2:A833),"")</f>
        <v>725</v>
      </c>
      <c r="B834" s="313"/>
      <c r="C834" s="262" t="s">
        <v>706</v>
      </c>
      <c r="D834" s="267">
        <v>1</v>
      </c>
      <c r="E834" s="268">
        <v>0</v>
      </c>
      <c r="F834" s="267">
        <f t="shared" si="361"/>
        <v>1</v>
      </c>
      <c r="G834" s="269" t="s">
        <v>14</v>
      </c>
      <c r="H834" s="191">
        <v>0</v>
      </c>
      <c r="I834" s="192">
        <f t="shared" si="362"/>
        <v>0</v>
      </c>
      <c r="J834" s="193">
        <v>0</v>
      </c>
      <c r="K834" s="194">
        <f t="shared" si="363"/>
        <v>0</v>
      </c>
      <c r="L834" s="195">
        <v>55</v>
      </c>
      <c r="M834" s="196">
        <f t="shared" si="364"/>
        <v>0</v>
      </c>
      <c r="N834" s="197">
        <f t="shared" si="365"/>
        <v>0</v>
      </c>
      <c r="O834" s="198"/>
      <c r="P834" s="18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</row>
    <row r="835" spans="1:77" s="41" customFormat="1" ht="15.75">
      <c r="A835" s="64">
        <f>IF(F835&lt;&gt;"",1+MAX($A$2:A834),"")</f>
        <v>726</v>
      </c>
      <c r="B835" s="313"/>
      <c r="C835" s="262" t="s">
        <v>707</v>
      </c>
      <c r="D835" s="267">
        <v>2</v>
      </c>
      <c r="E835" s="268">
        <v>0</v>
      </c>
      <c r="F835" s="267">
        <f t="shared" si="361"/>
        <v>2</v>
      </c>
      <c r="G835" s="269" t="s">
        <v>14</v>
      </c>
      <c r="H835" s="191">
        <v>0</v>
      </c>
      <c r="I835" s="192">
        <f t="shared" si="362"/>
        <v>0</v>
      </c>
      <c r="J835" s="193">
        <v>0</v>
      </c>
      <c r="K835" s="194">
        <f t="shared" si="363"/>
        <v>0</v>
      </c>
      <c r="L835" s="195">
        <v>55</v>
      </c>
      <c r="M835" s="196">
        <f t="shared" si="364"/>
        <v>0</v>
      </c>
      <c r="N835" s="197">
        <f t="shared" si="365"/>
        <v>0</v>
      </c>
      <c r="O835" s="198"/>
      <c r="P835" s="18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</row>
    <row r="836" spans="1:77" s="41" customFormat="1" ht="15.75">
      <c r="A836" s="64">
        <f>IF(F836&lt;&gt;"",1+MAX($A$2:A835),"")</f>
        <v>727</v>
      </c>
      <c r="B836" s="313"/>
      <c r="C836" s="262" t="s">
        <v>708</v>
      </c>
      <c r="D836" s="267">
        <v>47</v>
      </c>
      <c r="E836" s="268">
        <v>0</v>
      </c>
      <c r="F836" s="267">
        <f t="shared" si="361"/>
        <v>47</v>
      </c>
      <c r="G836" s="269" t="s">
        <v>14</v>
      </c>
      <c r="H836" s="191">
        <v>0</v>
      </c>
      <c r="I836" s="192">
        <f t="shared" si="362"/>
        <v>0</v>
      </c>
      <c r="J836" s="193">
        <v>0</v>
      </c>
      <c r="K836" s="194">
        <f t="shared" si="363"/>
        <v>0</v>
      </c>
      <c r="L836" s="195">
        <v>55</v>
      </c>
      <c r="M836" s="196">
        <f t="shared" si="364"/>
        <v>0</v>
      </c>
      <c r="N836" s="197">
        <f t="shared" si="365"/>
        <v>0</v>
      </c>
      <c r="O836" s="198"/>
      <c r="P836" s="18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</row>
    <row r="837" spans="1:77" s="41" customFormat="1" ht="15.75">
      <c r="A837" s="64">
        <f>IF(F837&lt;&gt;"",1+MAX($A$2:A836),"")</f>
        <v>728</v>
      </c>
      <c r="B837" s="313"/>
      <c r="C837" s="262" t="s">
        <v>709</v>
      </c>
      <c r="D837" s="267">
        <v>17</v>
      </c>
      <c r="E837" s="268">
        <v>0</v>
      </c>
      <c r="F837" s="267">
        <f t="shared" si="361"/>
        <v>17</v>
      </c>
      <c r="G837" s="269" t="s">
        <v>14</v>
      </c>
      <c r="H837" s="191">
        <v>0</v>
      </c>
      <c r="I837" s="192">
        <f t="shared" si="362"/>
        <v>0</v>
      </c>
      <c r="J837" s="193">
        <v>0</v>
      </c>
      <c r="K837" s="194">
        <f t="shared" si="363"/>
        <v>0</v>
      </c>
      <c r="L837" s="195">
        <v>55</v>
      </c>
      <c r="M837" s="196">
        <f t="shared" si="364"/>
        <v>0</v>
      </c>
      <c r="N837" s="197">
        <f t="shared" si="365"/>
        <v>0</v>
      </c>
      <c r="O837" s="198"/>
      <c r="P837" s="18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</row>
    <row r="838" spans="1:77" s="41" customFormat="1" ht="15.75">
      <c r="A838" s="64">
        <f>IF(F838&lt;&gt;"",1+MAX($A$2:A837),"")</f>
        <v>729</v>
      </c>
      <c r="B838" s="313"/>
      <c r="C838" s="262" t="s">
        <v>710</v>
      </c>
      <c r="D838" s="267">
        <v>106</v>
      </c>
      <c r="E838" s="268">
        <v>0</v>
      </c>
      <c r="F838" s="267">
        <f t="shared" si="361"/>
        <v>106</v>
      </c>
      <c r="G838" s="269" t="s">
        <v>14</v>
      </c>
      <c r="H838" s="191">
        <v>0</v>
      </c>
      <c r="I838" s="192">
        <f t="shared" si="362"/>
        <v>0</v>
      </c>
      <c r="J838" s="193">
        <v>0</v>
      </c>
      <c r="K838" s="194">
        <f t="shared" si="363"/>
        <v>0</v>
      </c>
      <c r="L838" s="195">
        <v>55</v>
      </c>
      <c r="M838" s="196">
        <f t="shared" si="364"/>
        <v>0</v>
      </c>
      <c r="N838" s="197">
        <f t="shared" si="365"/>
        <v>0</v>
      </c>
      <c r="O838" s="198"/>
      <c r="P838" s="18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</row>
    <row r="839" spans="1:77" s="41" customFormat="1" ht="15.75">
      <c r="A839" s="64">
        <f>IF(F839&lt;&gt;"",1+MAX($A$2:A838),"")</f>
        <v>730</v>
      </c>
      <c r="B839" s="313"/>
      <c r="C839" s="265" t="s">
        <v>711</v>
      </c>
      <c r="D839" s="267">
        <v>3</v>
      </c>
      <c r="E839" s="268">
        <v>0</v>
      </c>
      <c r="F839" s="267">
        <f t="shared" si="361"/>
        <v>3</v>
      </c>
      <c r="G839" s="269" t="s">
        <v>14</v>
      </c>
      <c r="H839" s="191">
        <v>0</v>
      </c>
      <c r="I839" s="192">
        <f t="shared" si="362"/>
        <v>0</v>
      </c>
      <c r="J839" s="193">
        <v>0</v>
      </c>
      <c r="K839" s="194">
        <f t="shared" si="363"/>
        <v>0</v>
      </c>
      <c r="L839" s="195">
        <v>55</v>
      </c>
      <c r="M839" s="196">
        <f t="shared" si="364"/>
        <v>0</v>
      </c>
      <c r="N839" s="197">
        <f t="shared" si="365"/>
        <v>0</v>
      </c>
      <c r="O839" s="198"/>
      <c r="P839" s="18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</row>
    <row r="840" spans="1:77" s="41" customFormat="1" ht="15.75">
      <c r="A840" s="64">
        <f>IF(F840&lt;&gt;"",1+MAX($A$2:A839),"")</f>
        <v>731</v>
      </c>
      <c r="B840" s="313"/>
      <c r="C840" s="262" t="s">
        <v>712</v>
      </c>
      <c r="D840" s="267">
        <v>1</v>
      </c>
      <c r="E840" s="268">
        <v>0</v>
      </c>
      <c r="F840" s="267">
        <f t="shared" si="361"/>
        <v>1</v>
      </c>
      <c r="G840" s="269" t="s">
        <v>14</v>
      </c>
      <c r="H840" s="191">
        <v>0</v>
      </c>
      <c r="I840" s="192">
        <f t="shared" si="362"/>
        <v>0</v>
      </c>
      <c r="J840" s="193">
        <v>0</v>
      </c>
      <c r="K840" s="194">
        <f t="shared" si="363"/>
        <v>0</v>
      </c>
      <c r="L840" s="195">
        <v>55</v>
      </c>
      <c r="M840" s="196">
        <f t="shared" si="364"/>
        <v>0</v>
      </c>
      <c r="N840" s="197">
        <f t="shared" si="365"/>
        <v>0</v>
      </c>
      <c r="O840" s="198"/>
      <c r="P840" s="18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</row>
    <row r="841" spans="1:77" s="41" customFormat="1" ht="15.75">
      <c r="A841" s="64">
        <f>IF(F841&lt;&gt;"",1+MAX($A$2:A840),"")</f>
        <v>732</v>
      </c>
      <c r="B841" s="313"/>
      <c r="C841" s="262" t="s">
        <v>713</v>
      </c>
      <c r="D841" s="267">
        <v>47</v>
      </c>
      <c r="E841" s="268">
        <v>0</v>
      </c>
      <c r="F841" s="267">
        <f t="shared" si="361"/>
        <v>47</v>
      </c>
      <c r="G841" s="269" t="s">
        <v>14</v>
      </c>
      <c r="H841" s="191">
        <v>0</v>
      </c>
      <c r="I841" s="192">
        <f t="shared" si="362"/>
        <v>0</v>
      </c>
      <c r="J841" s="193">
        <v>0</v>
      </c>
      <c r="K841" s="194">
        <f t="shared" si="363"/>
        <v>0</v>
      </c>
      <c r="L841" s="195">
        <v>55</v>
      </c>
      <c r="M841" s="196">
        <f t="shared" si="364"/>
        <v>0</v>
      </c>
      <c r="N841" s="197">
        <f t="shared" si="365"/>
        <v>0</v>
      </c>
      <c r="O841" s="198"/>
      <c r="P841" s="18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</row>
    <row r="842" spans="1:77" s="41" customFormat="1" ht="15.75">
      <c r="A842" s="64">
        <f>IF(F842&lt;&gt;"",1+MAX($A$2:A841),"")</f>
        <v>733</v>
      </c>
      <c r="B842" s="313"/>
      <c r="C842" s="262" t="s">
        <v>714</v>
      </c>
      <c r="D842" s="267">
        <v>2</v>
      </c>
      <c r="E842" s="268">
        <v>0</v>
      </c>
      <c r="F842" s="267">
        <f t="shared" si="361"/>
        <v>2</v>
      </c>
      <c r="G842" s="269" t="s">
        <v>14</v>
      </c>
      <c r="H842" s="191">
        <v>0</v>
      </c>
      <c r="I842" s="192">
        <f t="shared" si="362"/>
        <v>0</v>
      </c>
      <c r="J842" s="193">
        <v>0</v>
      </c>
      <c r="K842" s="194">
        <f t="shared" si="363"/>
        <v>0</v>
      </c>
      <c r="L842" s="195">
        <v>55</v>
      </c>
      <c r="M842" s="196">
        <f t="shared" si="364"/>
        <v>0</v>
      </c>
      <c r="N842" s="197">
        <f t="shared" si="365"/>
        <v>0</v>
      </c>
      <c r="O842" s="198"/>
      <c r="P842" s="18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</row>
    <row r="843" spans="1:77" s="41" customFormat="1" ht="15.75">
      <c r="A843" s="64">
        <f>IF(F843&lt;&gt;"",1+MAX($A$2:A842),"")</f>
        <v>734</v>
      </c>
      <c r="B843" s="313"/>
      <c r="C843" s="262" t="s">
        <v>715</v>
      </c>
      <c r="D843" s="267">
        <v>2</v>
      </c>
      <c r="E843" s="268">
        <v>0</v>
      </c>
      <c r="F843" s="267">
        <f t="shared" si="361"/>
        <v>2</v>
      </c>
      <c r="G843" s="269" t="s">
        <v>14</v>
      </c>
      <c r="H843" s="191">
        <v>0</v>
      </c>
      <c r="I843" s="192">
        <f t="shared" si="362"/>
        <v>0</v>
      </c>
      <c r="J843" s="193">
        <v>0</v>
      </c>
      <c r="K843" s="194">
        <f t="shared" si="363"/>
        <v>0</v>
      </c>
      <c r="L843" s="195">
        <v>55</v>
      </c>
      <c r="M843" s="196">
        <f t="shared" si="364"/>
        <v>0</v>
      </c>
      <c r="N843" s="197">
        <f t="shared" si="365"/>
        <v>0</v>
      </c>
      <c r="O843" s="198"/>
      <c r="P843" s="18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</row>
    <row r="844" spans="1:77" s="41" customFormat="1" ht="15.75">
      <c r="A844" s="64">
        <f>IF(F844&lt;&gt;"",1+MAX($A$2:A843),"")</f>
        <v>735</v>
      </c>
      <c r="B844" s="313"/>
      <c r="C844" s="262" t="s">
        <v>716</v>
      </c>
      <c r="D844" s="267">
        <v>4</v>
      </c>
      <c r="E844" s="268">
        <v>0</v>
      </c>
      <c r="F844" s="267">
        <f t="shared" si="361"/>
        <v>4</v>
      </c>
      <c r="G844" s="269" t="s">
        <v>14</v>
      </c>
      <c r="H844" s="191">
        <v>0</v>
      </c>
      <c r="I844" s="192">
        <f t="shared" si="362"/>
        <v>0</v>
      </c>
      <c r="J844" s="193">
        <v>0</v>
      </c>
      <c r="K844" s="194">
        <f t="shared" si="363"/>
        <v>0</v>
      </c>
      <c r="L844" s="195">
        <v>55</v>
      </c>
      <c r="M844" s="196">
        <f t="shared" si="364"/>
        <v>0</v>
      </c>
      <c r="N844" s="197">
        <f t="shared" si="365"/>
        <v>0</v>
      </c>
      <c r="O844" s="198"/>
      <c r="P844" s="18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</row>
    <row r="845" spans="1:77" s="41" customFormat="1" ht="15.75">
      <c r="A845" s="64">
        <f>IF(F845&lt;&gt;"",1+MAX($A$2:A844),"")</f>
        <v>736</v>
      </c>
      <c r="B845" s="314"/>
      <c r="C845" s="262" t="s">
        <v>717</v>
      </c>
      <c r="D845" s="267">
        <v>41</v>
      </c>
      <c r="E845" s="268">
        <v>0</v>
      </c>
      <c r="F845" s="267">
        <f t="shared" si="361"/>
        <v>41</v>
      </c>
      <c r="G845" s="269" t="s">
        <v>14</v>
      </c>
      <c r="H845" s="191">
        <v>0</v>
      </c>
      <c r="I845" s="192">
        <f t="shared" si="362"/>
        <v>0</v>
      </c>
      <c r="J845" s="193">
        <v>0</v>
      </c>
      <c r="K845" s="194">
        <f t="shared" si="363"/>
        <v>0</v>
      </c>
      <c r="L845" s="195">
        <v>55</v>
      </c>
      <c r="M845" s="196">
        <f t="shared" si="364"/>
        <v>0</v>
      </c>
      <c r="N845" s="197">
        <f t="shared" si="365"/>
        <v>0</v>
      </c>
      <c r="O845" s="198"/>
      <c r="P845" s="18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</row>
    <row r="846" spans="1:77" s="41" customFormat="1" ht="15.75">
      <c r="A846" s="64" t="str">
        <f>IF(F846&lt;&gt;"",1+MAX($A$2:A845),"")</f>
        <v/>
      </c>
      <c r="B846" s="230"/>
      <c r="C846" s="227"/>
      <c r="D846" s="188"/>
      <c r="E846" s="189"/>
      <c r="F846" s="188"/>
      <c r="G846" s="190"/>
      <c r="H846" s="191"/>
      <c r="I846" s="192"/>
      <c r="J846" s="192"/>
      <c r="K846" s="192"/>
      <c r="L846" s="228"/>
      <c r="M846" s="229"/>
      <c r="N846" s="197"/>
      <c r="O846" s="198"/>
      <c r="P846" s="18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</row>
    <row r="847" spans="1:77" s="42" customFormat="1" ht="18.75">
      <c r="A847" s="310" t="s">
        <v>718</v>
      </c>
      <c r="B847" s="311"/>
      <c r="C847" s="311"/>
      <c r="D847" s="311"/>
      <c r="E847" s="311"/>
      <c r="F847" s="311"/>
      <c r="G847" s="311"/>
      <c r="H847" s="311"/>
      <c r="I847" s="311"/>
      <c r="J847" s="311"/>
      <c r="K847" s="311"/>
      <c r="L847" s="311"/>
      <c r="M847" s="311"/>
      <c r="N847" s="311"/>
      <c r="O847" s="311"/>
      <c r="P847" s="240">
        <f>SUM(N848:N956)</f>
        <v>0</v>
      </c>
      <c r="Q847" s="2"/>
      <c r="R847" s="2"/>
      <c r="S847"/>
      <c r="T847"/>
      <c r="U847"/>
      <c r="V847"/>
      <c r="W847"/>
      <c r="X847"/>
      <c r="Y847"/>
      <c r="Z847"/>
      <c r="AA847"/>
      <c r="AB847"/>
      <c r="AC847"/>
      <c r="AD847"/>
      <c r="AE847"/>
      <c r="AF847"/>
      <c r="AG847"/>
      <c r="AH847"/>
      <c r="AI847"/>
      <c r="AJ847"/>
      <c r="AK847"/>
      <c r="AL847"/>
      <c r="AM847"/>
      <c r="AN847"/>
      <c r="AO847"/>
      <c r="AP847"/>
      <c r="AQ847"/>
      <c r="AR847"/>
      <c r="AS847"/>
      <c r="AT847"/>
      <c r="AU847"/>
      <c r="AV847"/>
      <c r="AW847"/>
      <c r="AX847"/>
      <c r="AY847"/>
      <c r="AZ847"/>
      <c r="BA847"/>
      <c r="BB847"/>
      <c r="BC847"/>
      <c r="BD847"/>
      <c r="BE847"/>
      <c r="BF847"/>
      <c r="BG847"/>
      <c r="BH847"/>
      <c r="BI847"/>
      <c r="BJ847"/>
      <c r="BK847"/>
      <c r="BL847"/>
      <c r="BM847"/>
      <c r="BN847"/>
      <c r="BO847"/>
      <c r="BP847"/>
      <c r="BQ847"/>
      <c r="BR847"/>
    </row>
    <row r="848" spans="1:77" s="41" customFormat="1" ht="15.75">
      <c r="A848" s="64" t="str">
        <f>IF(F848&lt;&gt;"",1+MAX($A$2:A847),"")</f>
        <v/>
      </c>
      <c r="B848" s="230"/>
      <c r="C848" s="227"/>
      <c r="D848" s="188"/>
      <c r="E848" s="189"/>
      <c r="F848" s="188"/>
      <c r="G848" s="190"/>
      <c r="H848" s="191"/>
      <c r="I848" s="192"/>
      <c r="J848" s="192"/>
      <c r="K848" s="192"/>
      <c r="L848" s="228"/>
      <c r="M848" s="229"/>
      <c r="N848" s="197"/>
      <c r="O848" s="198"/>
      <c r="P848" s="18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</row>
    <row r="849" spans="1:77" s="41" customFormat="1" ht="15.75">
      <c r="A849" s="64" t="str">
        <f>IF(F849&lt;&gt;"",1+MAX($A$2:A848),"")</f>
        <v/>
      </c>
      <c r="B849" s="346" t="s">
        <v>719</v>
      </c>
      <c r="C849" s="270" t="s">
        <v>720</v>
      </c>
      <c r="D849" s="188"/>
      <c r="E849" s="189"/>
      <c r="F849" s="188"/>
      <c r="G849" s="190"/>
      <c r="H849" s="191"/>
      <c r="I849" s="192"/>
      <c r="J849" s="192"/>
      <c r="K849" s="192"/>
      <c r="L849" s="195"/>
      <c r="M849" s="229"/>
      <c r="N849" s="197"/>
      <c r="O849" s="198"/>
      <c r="P849" s="18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</row>
    <row r="850" spans="1:77" s="41" customFormat="1" ht="31.5">
      <c r="A850" s="64">
        <f>IF(F850&lt;&gt;"",1+MAX($A$2:A849),"")</f>
        <v>737</v>
      </c>
      <c r="B850" s="313"/>
      <c r="C850" s="226" t="s">
        <v>721</v>
      </c>
      <c r="D850" s="188">
        <v>1</v>
      </c>
      <c r="E850" s="189">
        <v>0</v>
      </c>
      <c r="F850" s="188">
        <f t="shared" ref="F850" si="366">(1+E850)*D850</f>
        <v>1</v>
      </c>
      <c r="G850" s="190" t="s">
        <v>722</v>
      </c>
      <c r="H850" s="191">
        <v>0</v>
      </c>
      <c r="I850" s="192">
        <f t="shared" ref="I850" si="367">H850*F850</f>
        <v>0</v>
      </c>
      <c r="J850" s="193">
        <v>0</v>
      </c>
      <c r="K850" s="194">
        <f t="shared" ref="K850" si="368">J850*F850</f>
        <v>0</v>
      </c>
      <c r="L850" s="195">
        <v>55</v>
      </c>
      <c r="M850" s="196">
        <f t="shared" ref="M850" si="369">L850*K850</f>
        <v>0</v>
      </c>
      <c r="N850" s="197">
        <f t="shared" ref="N850" si="370">M850+I850</f>
        <v>0</v>
      </c>
      <c r="O850" s="198"/>
      <c r="P850" s="18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</row>
    <row r="851" spans="1:77" s="41" customFormat="1" ht="15.75">
      <c r="A851" s="64" t="str">
        <f>IF(F851&lt;&gt;"",1+MAX($A$2:A850),"")</f>
        <v/>
      </c>
      <c r="B851" s="313"/>
      <c r="C851" s="270" t="s">
        <v>723</v>
      </c>
      <c r="D851" s="188"/>
      <c r="E851" s="189"/>
      <c r="F851" s="188"/>
      <c r="G851" s="190"/>
      <c r="H851" s="191"/>
      <c r="I851" s="192"/>
      <c r="J851" s="192"/>
      <c r="K851" s="192"/>
      <c r="L851" s="195"/>
      <c r="M851" s="229"/>
      <c r="N851" s="197"/>
      <c r="O851" s="198"/>
      <c r="P851" s="18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</row>
    <row r="852" spans="1:77" s="41" customFormat="1" ht="15.75">
      <c r="A852" s="64">
        <f>IF(F852&lt;&gt;"",1+MAX($A$2:A851),"")</f>
        <v>738</v>
      </c>
      <c r="B852" s="313"/>
      <c r="C852" s="226" t="s">
        <v>724</v>
      </c>
      <c r="D852" s="188">
        <v>44</v>
      </c>
      <c r="E852" s="189">
        <v>0</v>
      </c>
      <c r="F852" s="188">
        <f t="shared" ref="F852:F876" si="371">(1+E852)*D852</f>
        <v>44</v>
      </c>
      <c r="G852" s="190" t="s">
        <v>14</v>
      </c>
      <c r="H852" s="191">
        <v>0</v>
      </c>
      <c r="I852" s="192">
        <f t="shared" ref="I852:I876" si="372">H852*F852</f>
        <v>0</v>
      </c>
      <c r="J852" s="193">
        <v>0</v>
      </c>
      <c r="K852" s="194">
        <f t="shared" ref="K852:K876" si="373">J852*F852</f>
        <v>0</v>
      </c>
      <c r="L852" s="195">
        <v>55</v>
      </c>
      <c r="M852" s="196">
        <f t="shared" ref="M852:M876" si="374">L852*K852</f>
        <v>0</v>
      </c>
      <c r="N852" s="197">
        <f t="shared" ref="N852:N876" si="375">M852+I852</f>
        <v>0</v>
      </c>
      <c r="O852" s="198"/>
      <c r="P852" s="18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</row>
    <row r="853" spans="1:77" s="41" customFormat="1" ht="15.75">
      <c r="A853" s="64">
        <f>IF(F853&lt;&gt;"",1+MAX($A$2:A852),"")</f>
        <v>739</v>
      </c>
      <c r="B853" s="313"/>
      <c r="C853" s="226" t="s">
        <v>725</v>
      </c>
      <c r="D853" s="188">
        <v>527</v>
      </c>
      <c r="E853" s="189">
        <v>0</v>
      </c>
      <c r="F853" s="188">
        <f t="shared" si="371"/>
        <v>527</v>
      </c>
      <c r="G853" s="190" t="s">
        <v>14</v>
      </c>
      <c r="H853" s="191">
        <v>0</v>
      </c>
      <c r="I853" s="192">
        <f t="shared" si="372"/>
        <v>0</v>
      </c>
      <c r="J853" s="193">
        <v>0</v>
      </c>
      <c r="K853" s="194">
        <f t="shared" si="373"/>
        <v>0</v>
      </c>
      <c r="L853" s="195">
        <v>55</v>
      </c>
      <c r="M853" s="196">
        <f t="shared" si="374"/>
        <v>0</v>
      </c>
      <c r="N853" s="197">
        <f t="shared" si="375"/>
        <v>0</v>
      </c>
      <c r="O853" s="198"/>
      <c r="P853" s="18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</row>
    <row r="854" spans="1:77" s="41" customFormat="1" ht="15.75">
      <c r="A854" s="64">
        <f>IF(F854&lt;&gt;"",1+MAX($A$2:A853),"")</f>
        <v>740</v>
      </c>
      <c r="B854" s="313"/>
      <c r="C854" s="226" t="s">
        <v>726</v>
      </c>
      <c r="D854" s="188">
        <v>126</v>
      </c>
      <c r="E854" s="189">
        <v>0</v>
      </c>
      <c r="F854" s="188">
        <f t="shared" si="371"/>
        <v>126</v>
      </c>
      <c r="G854" s="190" t="s">
        <v>14</v>
      </c>
      <c r="H854" s="191">
        <v>0</v>
      </c>
      <c r="I854" s="192">
        <f t="shared" si="372"/>
        <v>0</v>
      </c>
      <c r="J854" s="193">
        <v>0</v>
      </c>
      <c r="K854" s="194">
        <f t="shared" si="373"/>
        <v>0</v>
      </c>
      <c r="L854" s="195">
        <v>55</v>
      </c>
      <c r="M854" s="196">
        <f t="shared" si="374"/>
        <v>0</v>
      </c>
      <c r="N854" s="197">
        <f t="shared" si="375"/>
        <v>0</v>
      </c>
      <c r="O854" s="198"/>
      <c r="P854" s="18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</row>
    <row r="855" spans="1:77" s="41" customFormat="1" ht="15.75">
      <c r="A855" s="64">
        <f>IF(F855&lt;&gt;"",1+MAX($A$2:A854),"")</f>
        <v>741</v>
      </c>
      <c r="B855" s="313"/>
      <c r="C855" s="226" t="s">
        <v>727</v>
      </c>
      <c r="D855" s="188">
        <v>152</v>
      </c>
      <c r="E855" s="189">
        <v>0</v>
      </c>
      <c r="F855" s="188">
        <f t="shared" si="371"/>
        <v>152</v>
      </c>
      <c r="G855" s="190" t="s">
        <v>14</v>
      </c>
      <c r="H855" s="191">
        <v>0</v>
      </c>
      <c r="I855" s="192">
        <f t="shared" si="372"/>
        <v>0</v>
      </c>
      <c r="J855" s="193">
        <v>0</v>
      </c>
      <c r="K855" s="194">
        <f t="shared" si="373"/>
        <v>0</v>
      </c>
      <c r="L855" s="195">
        <v>55</v>
      </c>
      <c r="M855" s="196">
        <f t="shared" si="374"/>
        <v>0</v>
      </c>
      <c r="N855" s="197">
        <f t="shared" si="375"/>
        <v>0</v>
      </c>
      <c r="O855" s="198"/>
      <c r="P855" s="18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</row>
    <row r="856" spans="1:77" s="41" customFormat="1" ht="15.75">
      <c r="A856" s="64">
        <f>IF(F856&lt;&gt;"",1+MAX($A$2:A855),"")</f>
        <v>742</v>
      </c>
      <c r="B856" s="313"/>
      <c r="C856" s="226" t="s">
        <v>728</v>
      </c>
      <c r="D856" s="188">
        <v>115</v>
      </c>
      <c r="E856" s="189">
        <v>0</v>
      </c>
      <c r="F856" s="188">
        <f t="shared" si="371"/>
        <v>115</v>
      </c>
      <c r="G856" s="190" t="s">
        <v>14</v>
      </c>
      <c r="H856" s="191">
        <v>0</v>
      </c>
      <c r="I856" s="192">
        <f t="shared" si="372"/>
        <v>0</v>
      </c>
      <c r="J856" s="193">
        <v>0</v>
      </c>
      <c r="K856" s="194">
        <f t="shared" si="373"/>
        <v>0</v>
      </c>
      <c r="L856" s="195">
        <v>55</v>
      </c>
      <c r="M856" s="196">
        <f t="shared" si="374"/>
        <v>0</v>
      </c>
      <c r="N856" s="197">
        <f t="shared" si="375"/>
        <v>0</v>
      </c>
      <c r="O856" s="198"/>
      <c r="P856" s="18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</row>
    <row r="857" spans="1:77" s="41" customFormat="1" ht="15.75">
      <c r="A857" s="64">
        <f>IF(F857&lt;&gt;"",1+MAX($A$2:A856),"")</f>
        <v>743</v>
      </c>
      <c r="B857" s="313"/>
      <c r="C857" s="262" t="s">
        <v>729</v>
      </c>
      <c r="D857" s="267">
        <v>41</v>
      </c>
      <c r="E857" s="268">
        <v>0</v>
      </c>
      <c r="F857" s="267">
        <f t="shared" si="371"/>
        <v>41</v>
      </c>
      <c r="G857" s="269" t="s">
        <v>14</v>
      </c>
      <c r="H857" s="191">
        <v>0</v>
      </c>
      <c r="I857" s="192">
        <f t="shared" si="372"/>
        <v>0</v>
      </c>
      <c r="J857" s="193">
        <v>0</v>
      </c>
      <c r="K857" s="194">
        <f t="shared" si="373"/>
        <v>0</v>
      </c>
      <c r="L857" s="195">
        <v>55</v>
      </c>
      <c r="M857" s="196">
        <f t="shared" si="374"/>
        <v>0</v>
      </c>
      <c r="N857" s="197">
        <f t="shared" si="375"/>
        <v>0</v>
      </c>
      <c r="O857" s="198"/>
      <c r="P857" s="18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</row>
    <row r="858" spans="1:77" s="41" customFormat="1" ht="15.75">
      <c r="A858" s="64">
        <f>IF(F858&lt;&gt;"",1+MAX($A$2:A857),"")</f>
        <v>744</v>
      </c>
      <c r="B858" s="313"/>
      <c r="C858" s="262" t="s">
        <v>730</v>
      </c>
      <c r="D858" s="267">
        <v>4</v>
      </c>
      <c r="E858" s="268">
        <v>0</v>
      </c>
      <c r="F858" s="267">
        <f t="shared" si="371"/>
        <v>4</v>
      </c>
      <c r="G858" s="269" t="s">
        <v>14</v>
      </c>
      <c r="H858" s="191">
        <v>0</v>
      </c>
      <c r="I858" s="192">
        <f t="shared" si="372"/>
        <v>0</v>
      </c>
      <c r="J858" s="193">
        <v>0</v>
      </c>
      <c r="K858" s="194">
        <f t="shared" si="373"/>
        <v>0</v>
      </c>
      <c r="L858" s="195">
        <v>55</v>
      </c>
      <c r="M858" s="196">
        <f t="shared" si="374"/>
        <v>0</v>
      </c>
      <c r="N858" s="197">
        <f t="shared" si="375"/>
        <v>0</v>
      </c>
      <c r="O858" s="198"/>
      <c r="P858" s="18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</row>
    <row r="859" spans="1:77" s="41" customFormat="1" ht="15.75">
      <c r="A859" s="64">
        <f>IF(F859&lt;&gt;"",1+MAX($A$2:A858),"")</f>
        <v>745</v>
      </c>
      <c r="B859" s="313"/>
      <c r="C859" s="226" t="s">
        <v>731</v>
      </c>
      <c r="D859" s="188">
        <v>3</v>
      </c>
      <c r="E859" s="189">
        <v>0</v>
      </c>
      <c r="F859" s="188">
        <f t="shared" si="371"/>
        <v>3</v>
      </c>
      <c r="G859" s="190" t="s">
        <v>14</v>
      </c>
      <c r="H859" s="191">
        <v>0</v>
      </c>
      <c r="I859" s="192">
        <f t="shared" si="372"/>
        <v>0</v>
      </c>
      <c r="J859" s="193">
        <v>0</v>
      </c>
      <c r="K859" s="194">
        <f t="shared" si="373"/>
        <v>0</v>
      </c>
      <c r="L859" s="195">
        <v>55</v>
      </c>
      <c r="M859" s="196">
        <f t="shared" si="374"/>
        <v>0</v>
      </c>
      <c r="N859" s="197">
        <f t="shared" si="375"/>
        <v>0</v>
      </c>
      <c r="O859" s="198"/>
      <c r="P859" s="18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</row>
    <row r="860" spans="1:77" s="41" customFormat="1" ht="15.75">
      <c r="A860" s="64">
        <f>IF(F860&lt;&gt;"",1+MAX($A$2:A859),"")</f>
        <v>746</v>
      </c>
      <c r="B860" s="313"/>
      <c r="C860" s="226" t="s">
        <v>732</v>
      </c>
      <c r="D860" s="188">
        <v>1</v>
      </c>
      <c r="E860" s="189">
        <v>0</v>
      </c>
      <c r="F860" s="188">
        <f t="shared" si="371"/>
        <v>1</v>
      </c>
      <c r="G860" s="190" t="s">
        <v>14</v>
      </c>
      <c r="H860" s="191">
        <v>0</v>
      </c>
      <c r="I860" s="192">
        <f t="shared" si="372"/>
        <v>0</v>
      </c>
      <c r="J860" s="193">
        <v>0</v>
      </c>
      <c r="K860" s="194">
        <f t="shared" si="373"/>
        <v>0</v>
      </c>
      <c r="L860" s="195">
        <v>55</v>
      </c>
      <c r="M860" s="196">
        <f t="shared" si="374"/>
        <v>0</v>
      </c>
      <c r="N860" s="197">
        <f t="shared" si="375"/>
        <v>0</v>
      </c>
      <c r="O860" s="198"/>
      <c r="P860" s="18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</row>
    <row r="861" spans="1:77" s="41" customFormat="1" ht="15.75">
      <c r="A861" s="64">
        <f>IF(F861&lt;&gt;"",1+MAX($A$2:A860),"")</f>
        <v>747</v>
      </c>
      <c r="B861" s="313"/>
      <c r="C861" s="226" t="s">
        <v>733</v>
      </c>
      <c r="D861" s="188">
        <v>3</v>
      </c>
      <c r="E861" s="189">
        <v>0</v>
      </c>
      <c r="F861" s="188">
        <f t="shared" si="371"/>
        <v>3</v>
      </c>
      <c r="G861" s="190" t="s">
        <v>14</v>
      </c>
      <c r="H861" s="191">
        <v>0</v>
      </c>
      <c r="I861" s="192">
        <f t="shared" si="372"/>
        <v>0</v>
      </c>
      <c r="J861" s="193">
        <v>0</v>
      </c>
      <c r="K861" s="194">
        <f t="shared" si="373"/>
        <v>0</v>
      </c>
      <c r="L861" s="195">
        <v>55</v>
      </c>
      <c r="M861" s="196">
        <f t="shared" si="374"/>
        <v>0</v>
      </c>
      <c r="N861" s="197">
        <f t="shared" si="375"/>
        <v>0</v>
      </c>
      <c r="O861" s="198"/>
      <c r="P861" s="18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</row>
    <row r="862" spans="1:77" s="41" customFormat="1" ht="15.75">
      <c r="A862" s="64">
        <f>IF(F862&lt;&gt;"",1+MAX($A$2:A861),"")</f>
        <v>748</v>
      </c>
      <c r="B862" s="313"/>
      <c r="C862" s="226" t="s">
        <v>734</v>
      </c>
      <c r="D862" s="188">
        <v>6</v>
      </c>
      <c r="E862" s="189">
        <v>0</v>
      </c>
      <c r="F862" s="188">
        <f t="shared" si="371"/>
        <v>6</v>
      </c>
      <c r="G862" s="190" t="s">
        <v>14</v>
      </c>
      <c r="H862" s="191">
        <v>0</v>
      </c>
      <c r="I862" s="192">
        <f t="shared" si="372"/>
        <v>0</v>
      </c>
      <c r="J862" s="193">
        <v>0</v>
      </c>
      <c r="K862" s="194">
        <f t="shared" si="373"/>
        <v>0</v>
      </c>
      <c r="L862" s="195">
        <v>55</v>
      </c>
      <c r="M862" s="196">
        <f t="shared" si="374"/>
        <v>0</v>
      </c>
      <c r="N862" s="197">
        <f t="shared" si="375"/>
        <v>0</v>
      </c>
      <c r="O862" s="198"/>
      <c r="P862" s="18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</row>
    <row r="863" spans="1:77" s="41" customFormat="1" ht="15.75">
      <c r="A863" s="64">
        <f>IF(F863&lt;&gt;"",1+MAX($A$2:A862),"")</f>
        <v>749</v>
      </c>
      <c r="B863" s="313"/>
      <c r="C863" s="226" t="s">
        <v>735</v>
      </c>
      <c r="D863" s="188">
        <v>4</v>
      </c>
      <c r="E863" s="189">
        <v>0</v>
      </c>
      <c r="F863" s="188">
        <f t="shared" si="371"/>
        <v>4</v>
      </c>
      <c r="G863" s="190" t="s">
        <v>14</v>
      </c>
      <c r="H863" s="191">
        <v>0</v>
      </c>
      <c r="I863" s="192">
        <f t="shared" si="372"/>
        <v>0</v>
      </c>
      <c r="J863" s="193">
        <v>0</v>
      </c>
      <c r="K863" s="194">
        <f t="shared" si="373"/>
        <v>0</v>
      </c>
      <c r="L863" s="195">
        <v>55</v>
      </c>
      <c r="M863" s="196">
        <f t="shared" si="374"/>
        <v>0</v>
      </c>
      <c r="N863" s="197">
        <f t="shared" si="375"/>
        <v>0</v>
      </c>
      <c r="O863" s="198"/>
      <c r="P863" s="18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</row>
    <row r="864" spans="1:77" s="41" customFormat="1" ht="15.75">
      <c r="A864" s="64">
        <f>IF(F864&lt;&gt;"",1+MAX($A$2:A863),"")</f>
        <v>750</v>
      </c>
      <c r="B864" s="313"/>
      <c r="C864" s="226" t="s">
        <v>736</v>
      </c>
      <c r="D864" s="188">
        <v>1</v>
      </c>
      <c r="E864" s="189">
        <v>0</v>
      </c>
      <c r="F864" s="188">
        <f t="shared" si="371"/>
        <v>1</v>
      </c>
      <c r="G864" s="190" t="s">
        <v>14</v>
      </c>
      <c r="H864" s="191">
        <v>0</v>
      </c>
      <c r="I864" s="192">
        <f t="shared" si="372"/>
        <v>0</v>
      </c>
      <c r="J864" s="193">
        <v>0</v>
      </c>
      <c r="K864" s="194">
        <f t="shared" si="373"/>
        <v>0</v>
      </c>
      <c r="L864" s="195">
        <v>55</v>
      </c>
      <c r="M864" s="196">
        <f t="shared" si="374"/>
        <v>0</v>
      </c>
      <c r="N864" s="197">
        <f t="shared" si="375"/>
        <v>0</v>
      </c>
      <c r="O864" s="198"/>
      <c r="P864" s="18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</row>
    <row r="865" spans="1:77" s="41" customFormat="1" ht="15.75">
      <c r="A865" s="64">
        <f>IF(F865&lt;&gt;"",1+MAX($A$2:A864),"")</f>
        <v>751</v>
      </c>
      <c r="B865" s="313"/>
      <c r="C865" s="226" t="s">
        <v>737</v>
      </c>
      <c r="D865" s="188">
        <v>3</v>
      </c>
      <c r="E865" s="189">
        <v>0</v>
      </c>
      <c r="F865" s="188">
        <f t="shared" si="371"/>
        <v>3</v>
      </c>
      <c r="G865" s="190" t="s">
        <v>14</v>
      </c>
      <c r="H865" s="191">
        <v>0</v>
      </c>
      <c r="I865" s="192">
        <f t="shared" si="372"/>
        <v>0</v>
      </c>
      <c r="J865" s="193">
        <v>0</v>
      </c>
      <c r="K865" s="194">
        <f t="shared" si="373"/>
        <v>0</v>
      </c>
      <c r="L865" s="195">
        <v>55</v>
      </c>
      <c r="M865" s="196">
        <f t="shared" si="374"/>
        <v>0</v>
      </c>
      <c r="N865" s="197">
        <f t="shared" si="375"/>
        <v>0</v>
      </c>
      <c r="O865" s="198"/>
      <c r="P865" s="18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</row>
    <row r="866" spans="1:77" s="41" customFormat="1" ht="15.75">
      <c r="A866" s="64">
        <f>IF(F866&lt;&gt;"",1+MAX($A$2:A865),"")</f>
        <v>752</v>
      </c>
      <c r="B866" s="313"/>
      <c r="C866" s="226" t="s">
        <v>738</v>
      </c>
      <c r="D866" s="188">
        <v>5</v>
      </c>
      <c r="E866" s="189">
        <v>0</v>
      </c>
      <c r="F866" s="188">
        <f t="shared" si="371"/>
        <v>5</v>
      </c>
      <c r="G866" s="190" t="s">
        <v>14</v>
      </c>
      <c r="H866" s="191">
        <v>0</v>
      </c>
      <c r="I866" s="192">
        <f t="shared" si="372"/>
        <v>0</v>
      </c>
      <c r="J866" s="193">
        <v>0</v>
      </c>
      <c r="K866" s="194">
        <f t="shared" si="373"/>
        <v>0</v>
      </c>
      <c r="L866" s="195">
        <v>55</v>
      </c>
      <c r="M866" s="196">
        <f t="shared" si="374"/>
        <v>0</v>
      </c>
      <c r="N866" s="197">
        <f t="shared" si="375"/>
        <v>0</v>
      </c>
      <c r="O866" s="198"/>
      <c r="P866" s="18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</row>
    <row r="867" spans="1:77" s="41" customFormat="1" ht="15.75">
      <c r="A867" s="64">
        <f>IF(F867&lt;&gt;"",1+MAX($A$2:A866),"")</f>
        <v>753</v>
      </c>
      <c r="B867" s="313"/>
      <c r="C867" s="226" t="s">
        <v>739</v>
      </c>
      <c r="D867" s="188">
        <v>1</v>
      </c>
      <c r="E867" s="189">
        <v>0</v>
      </c>
      <c r="F867" s="188">
        <f t="shared" si="371"/>
        <v>1</v>
      </c>
      <c r="G867" s="190" t="s">
        <v>14</v>
      </c>
      <c r="H867" s="191">
        <v>0</v>
      </c>
      <c r="I867" s="192">
        <f t="shared" si="372"/>
        <v>0</v>
      </c>
      <c r="J867" s="193">
        <v>0</v>
      </c>
      <c r="K867" s="194">
        <f t="shared" si="373"/>
        <v>0</v>
      </c>
      <c r="L867" s="195">
        <v>55</v>
      </c>
      <c r="M867" s="196">
        <f t="shared" si="374"/>
        <v>0</v>
      </c>
      <c r="N867" s="197">
        <f t="shared" si="375"/>
        <v>0</v>
      </c>
      <c r="O867" s="198"/>
      <c r="P867" s="18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</row>
    <row r="868" spans="1:77" s="41" customFormat="1" ht="15.75">
      <c r="A868" s="64">
        <f>IF(F868&lt;&gt;"",1+MAX($A$2:A867),"")</f>
        <v>754</v>
      </c>
      <c r="B868" s="313"/>
      <c r="C868" s="226" t="s">
        <v>740</v>
      </c>
      <c r="D868" s="188">
        <v>1</v>
      </c>
      <c r="E868" s="189">
        <v>0</v>
      </c>
      <c r="F868" s="188">
        <f t="shared" si="371"/>
        <v>1</v>
      </c>
      <c r="G868" s="190" t="s">
        <v>14</v>
      </c>
      <c r="H868" s="191">
        <v>0</v>
      </c>
      <c r="I868" s="192">
        <f t="shared" si="372"/>
        <v>0</v>
      </c>
      <c r="J868" s="193">
        <v>0</v>
      </c>
      <c r="K868" s="194">
        <f t="shared" si="373"/>
        <v>0</v>
      </c>
      <c r="L868" s="195">
        <v>55</v>
      </c>
      <c r="M868" s="196">
        <f t="shared" si="374"/>
        <v>0</v>
      </c>
      <c r="N868" s="197">
        <f t="shared" si="375"/>
        <v>0</v>
      </c>
      <c r="O868" s="198"/>
      <c r="P868" s="18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</row>
    <row r="869" spans="1:77" s="41" customFormat="1" ht="15.75">
      <c r="A869" s="64">
        <f>IF(F869&lt;&gt;"",1+MAX($A$2:A868),"")</f>
        <v>755</v>
      </c>
      <c r="B869" s="313"/>
      <c r="C869" s="262" t="s">
        <v>741</v>
      </c>
      <c r="D869" s="267">
        <v>2</v>
      </c>
      <c r="E869" s="268">
        <v>0</v>
      </c>
      <c r="F869" s="267">
        <f t="shared" si="371"/>
        <v>2</v>
      </c>
      <c r="G869" s="269" t="s">
        <v>14</v>
      </c>
      <c r="H869" s="191">
        <v>0</v>
      </c>
      <c r="I869" s="192">
        <f t="shared" si="372"/>
        <v>0</v>
      </c>
      <c r="J869" s="193">
        <v>0</v>
      </c>
      <c r="K869" s="194">
        <f t="shared" si="373"/>
        <v>0</v>
      </c>
      <c r="L869" s="195">
        <v>55</v>
      </c>
      <c r="M869" s="196">
        <f t="shared" si="374"/>
        <v>0</v>
      </c>
      <c r="N869" s="197">
        <f t="shared" si="375"/>
        <v>0</v>
      </c>
      <c r="O869" s="198"/>
      <c r="P869" s="18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</row>
    <row r="870" spans="1:77" s="41" customFormat="1" ht="15.75">
      <c r="A870" s="64">
        <f>IF(F870&lt;&gt;"",1+MAX($A$2:A869),"")</f>
        <v>756</v>
      </c>
      <c r="B870" s="313"/>
      <c r="C870" s="262" t="s">
        <v>742</v>
      </c>
      <c r="D870" s="267">
        <v>1</v>
      </c>
      <c r="E870" s="268">
        <v>0</v>
      </c>
      <c r="F870" s="267">
        <f t="shared" si="371"/>
        <v>1</v>
      </c>
      <c r="G870" s="269" t="s">
        <v>14</v>
      </c>
      <c r="H870" s="191">
        <v>0</v>
      </c>
      <c r="I870" s="192">
        <f t="shared" si="372"/>
        <v>0</v>
      </c>
      <c r="J870" s="193">
        <v>0</v>
      </c>
      <c r="K870" s="194">
        <f t="shared" si="373"/>
        <v>0</v>
      </c>
      <c r="L870" s="195">
        <v>55</v>
      </c>
      <c r="M870" s="196">
        <f t="shared" si="374"/>
        <v>0</v>
      </c>
      <c r="N870" s="197">
        <f t="shared" si="375"/>
        <v>0</v>
      </c>
      <c r="O870" s="198"/>
      <c r="P870" s="18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</row>
    <row r="871" spans="1:77" s="41" customFormat="1" ht="15.75">
      <c r="A871" s="64">
        <f>IF(F871&lt;&gt;"",1+MAX($A$2:A870),"")</f>
        <v>757</v>
      </c>
      <c r="B871" s="313"/>
      <c r="C871" s="226" t="s">
        <v>743</v>
      </c>
      <c r="D871" s="188">
        <v>1</v>
      </c>
      <c r="E871" s="189">
        <v>0</v>
      </c>
      <c r="F871" s="188">
        <f t="shared" si="371"/>
        <v>1</v>
      </c>
      <c r="G871" s="190" t="s">
        <v>14</v>
      </c>
      <c r="H871" s="191">
        <v>0</v>
      </c>
      <c r="I871" s="192">
        <f t="shared" si="372"/>
        <v>0</v>
      </c>
      <c r="J871" s="193">
        <v>0</v>
      </c>
      <c r="K871" s="194">
        <f t="shared" si="373"/>
        <v>0</v>
      </c>
      <c r="L871" s="195">
        <v>55</v>
      </c>
      <c r="M871" s="196">
        <f t="shared" si="374"/>
        <v>0</v>
      </c>
      <c r="N871" s="197">
        <f t="shared" si="375"/>
        <v>0</v>
      </c>
      <c r="O871" s="198"/>
      <c r="P871" s="18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</row>
    <row r="872" spans="1:77" s="41" customFormat="1" ht="15.75">
      <c r="A872" s="64">
        <f>IF(F872&lt;&gt;"",1+MAX($A$2:A871),"")</f>
        <v>758</v>
      </c>
      <c r="B872" s="313"/>
      <c r="C872" s="226" t="s">
        <v>744</v>
      </c>
      <c r="D872" s="188">
        <v>6</v>
      </c>
      <c r="E872" s="189">
        <v>0</v>
      </c>
      <c r="F872" s="188">
        <f t="shared" si="371"/>
        <v>6</v>
      </c>
      <c r="G872" s="190" t="s">
        <v>14</v>
      </c>
      <c r="H872" s="191">
        <v>0</v>
      </c>
      <c r="I872" s="192">
        <f t="shared" si="372"/>
        <v>0</v>
      </c>
      <c r="J872" s="193">
        <v>0</v>
      </c>
      <c r="K872" s="194">
        <f t="shared" si="373"/>
        <v>0</v>
      </c>
      <c r="L872" s="195">
        <v>55</v>
      </c>
      <c r="M872" s="196">
        <f t="shared" si="374"/>
        <v>0</v>
      </c>
      <c r="N872" s="197">
        <f t="shared" si="375"/>
        <v>0</v>
      </c>
      <c r="O872" s="198"/>
      <c r="P872" s="18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</row>
    <row r="873" spans="1:77" s="41" customFormat="1" ht="15.75">
      <c r="A873" s="64">
        <f>IF(F873&lt;&gt;"",1+MAX($A$2:A872),"")</f>
        <v>759</v>
      </c>
      <c r="B873" s="313"/>
      <c r="C873" s="226" t="s">
        <v>745</v>
      </c>
      <c r="D873" s="188">
        <v>1</v>
      </c>
      <c r="E873" s="189">
        <v>0</v>
      </c>
      <c r="F873" s="188">
        <f t="shared" si="371"/>
        <v>1</v>
      </c>
      <c r="G873" s="190" t="s">
        <v>14</v>
      </c>
      <c r="H873" s="191">
        <v>0</v>
      </c>
      <c r="I873" s="192">
        <f t="shared" si="372"/>
        <v>0</v>
      </c>
      <c r="J873" s="193">
        <v>0</v>
      </c>
      <c r="K873" s="194">
        <f t="shared" si="373"/>
        <v>0</v>
      </c>
      <c r="L873" s="195">
        <v>55</v>
      </c>
      <c r="M873" s="196">
        <f t="shared" si="374"/>
        <v>0</v>
      </c>
      <c r="N873" s="197">
        <f t="shared" si="375"/>
        <v>0</v>
      </c>
      <c r="O873" s="198"/>
      <c r="P873" s="18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</row>
    <row r="874" spans="1:77" s="41" customFormat="1" ht="15.75">
      <c r="A874" s="64">
        <f>IF(F874&lt;&gt;"",1+MAX($A$2:A873),"")</f>
        <v>760</v>
      </c>
      <c r="B874" s="313"/>
      <c r="C874" s="226" t="s">
        <v>746</v>
      </c>
      <c r="D874" s="188">
        <v>1</v>
      </c>
      <c r="E874" s="189">
        <v>0</v>
      </c>
      <c r="F874" s="188">
        <f t="shared" si="371"/>
        <v>1</v>
      </c>
      <c r="G874" s="190" t="s">
        <v>14</v>
      </c>
      <c r="H874" s="191">
        <v>0</v>
      </c>
      <c r="I874" s="192">
        <f t="shared" si="372"/>
        <v>0</v>
      </c>
      <c r="J874" s="193">
        <v>0</v>
      </c>
      <c r="K874" s="194">
        <f t="shared" si="373"/>
        <v>0</v>
      </c>
      <c r="L874" s="195">
        <v>55</v>
      </c>
      <c r="M874" s="196">
        <f t="shared" si="374"/>
        <v>0</v>
      </c>
      <c r="N874" s="197">
        <f t="shared" si="375"/>
        <v>0</v>
      </c>
      <c r="O874" s="198"/>
      <c r="P874" s="18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</row>
    <row r="875" spans="1:77" s="41" customFormat="1" ht="15.75">
      <c r="A875" s="64">
        <f>IF(F875&lt;&gt;"",1+MAX($A$2:A874),"")</f>
        <v>761</v>
      </c>
      <c r="B875" s="313"/>
      <c r="C875" s="226" t="s">
        <v>747</v>
      </c>
      <c r="D875" s="188">
        <v>1</v>
      </c>
      <c r="E875" s="189">
        <v>0</v>
      </c>
      <c r="F875" s="188">
        <f t="shared" si="371"/>
        <v>1</v>
      </c>
      <c r="G875" s="190" t="s">
        <v>14</v>
      </c>
      <c r="H875" s="191">
        <v>0</v>
      </c>
      <c r="I875" s="192">
        <f t="shared" si="372"/>
        <v>0</v>
      </c>
      <c r="J875" s="193">
        <v>0</v>
      </c>
      <c r="K875" s="194">
        <f t="shared" si="373"/>
        <v>0</v>
      </c>
      <c r="L875" s="195">
        <v>55</v>
      </c>
      <c r="M875" s="196">
        <f t="shared" si="374"/>
        <v>0</v>
      </c>
      <c r="N875" s="197">
        <f t="shared" si="375"/>
        <v>0</v>
      </c>
      <c r="O875" s="198"/>
      <c r="P875" s="18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</row>
    <row r="876" spans="1:77" s="41" customFormat="1" ht="15.75">
      <c r="A876" s="64">
        <f>IF(F876&lt;&gt;"",1+MAX($A$2:A875),"")</f>
        <v>762</v>
      </c>
      <c r="B876" s="313"/>
      <c r="C876" s="262" t="s">
        <v>748</v>
      </c>
      <c r="D876" s="267">
        <v>3</v>
      </c>
      <c r="E876" s="268">
        <v>0</v>
      </c>
      <c r="F876" s="267">
        <f t="shared" si="371"/>
        <v>3</v>
      </c>
      <c r="G876" s="269" t="s">
        <v>14</v>
      </c>
      <c r="H876" s="191">
        <v>0</v>
      </c>
      <c r="I876" s="192">
        <f t="shared" si="372"/>
        <v>0</v>
      </c>
      <c r="J876" s="193">
        <v>0</v>
      </c>
      <c r="K876" s="194">
        <f t="shared" si="373"/>
        <v>0</v>
      </c>
      <c r="L876" s="195">
        <v>55</v>
      </c>
      <c r="M876" s="196">
        <f t="shared" si="374"/>
        <v>0</v>
      </c>
      <c r="N876" s="197">
        <f t="shared" si="375"/>
        <v>0</v>
      </c>
      <c r="O876" s="198"/>
      <c r="P876" s="18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</row>
    <row r="877" spans="1:77" s="41" customFormat="1" ht="15.75">
      <c r="A877" s="64" t="str">
        <f>IF(F877&lt;&gt;"",1+MAX($A$2:A876),"")</f>
        <v/>
      </c>
      <c r="B877" s="313"/>
      <c r="C877" s="270" t="s">
        <v>749</v>
      </c>
      <c r="D877" s="188"/>
      <c r="E877" s="189"/>
      <c r="F877" s="188"/>
      <c r="G877" s="190"/>
      <c r="H877" s="191"/>
      <c r="I877" s="192"/>
      <c r="J877" s="192"/>
      <c r="K877" s="192"/>
      <c r="L877" s="195"/>
      <c r="M877" s="229"/>
      <c r="N877" s="197"/>
      <c r="O877" s="198"/>
      <c r="P877" s="18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</row>
    <row r="878" spans="1:77" s="41" customFormat="1" ht="15.75">
      <c r="A878" s="64">
        <f>IF(F878&lt;&gt;"",1+MAX($A$2:A877),"")</f>
        <v>763</v>
      </c>
      <c r="B878" s="313"/>
      <c r="C878" s="226" t="s">
        <v>750</v>
      </c>
      <c r="D878" s="188">
        <v>1</v>
      </c>
      <c r="E878" s="189">
        <v>0</v>
      </c>
      <c r="F878" s="188">
        <f t="shared" ref="F878:F882" si="376">(1+E878)*D878</f>
        <v>1</v>
      </c>
      <c r="G878" s="190" t="s">
        <v>14</v>
      </c>
      <c r="H878" s="191">
        <v>0</v>
      </c>
      <c r="I878" s="192">
        <f t="shared" ref="I878:I882" si="377">H878*F878</f>
        <v>0</v>
      </c>
      <c r="J878" s="193">
        <v>0</v>
      </c>
      <c r="K878" s="194">
        <f t="shared" ref="K878:K882" si="378">J878*F878</f>
        <v>0</v>
      </c>
      <c r="L878" s="195">
        <v>55</v>
      </c>
      <c r="M878" s="196">
        <f t="shared" ref="M878:M882" si="379">L878*K878</f>
        <v>0</v>
      </c>
      <c r="N878" s="197">
        <f t="shared" ref="N878:N882" si="380">M878+I878</f>
        <v>0</v>
      </c>
      <c r="O878" s="198"/>
      <c r="P878" s="18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</row>
    <row r="879" spans="1:77" s="41" customFormat="1" ht="15.75">
      <c r="A879" s="64">
        <f>IF(F879&lt;&gt;"",1+MAX($A$2:A878),"")</f>
        <v>764</v>
      </c>
      <c r="B879" s="313"/>
      <c r="C879" s="226" t="s">
        <v>751</v>
      </c>
      <c r="D879" s="188">
        <v>146</v>
      </c>
      <c r="E879" s="189">
        <v>0</v>
      </c>
      <c r="F879" s="188">
        <f t="shared" si="376"/>
        <v>146</v>
      </c>
      <c r="G879" s="190" t="s">
        <v>14</v>
      </c>
      <c r="H879" s="191">
        <v>0</v>
      </c>
      <c r="I879" s="192">
        <f t="shared" si="377"/>
        <v>0</v>
      </c>
      <c r="J879" s="193">
        <v>0</v>
      </c>
      <c r="K879" s="194">
        <f t="shared" si="378"/>
        <v>0</v>
      </c>
      <c r="L879" s="195">
        <v>55</v>
      </c>
      <c r="M879" s="196">
        <f t="shared" si="379"/>
        <v>0</v>
      </c>
      <c r="N879" s="197">
        <f t="shared" si="380"/>
        <v>0</v>
      </c>
      <c r="O879" s="198"/>
      <c r="P879" s="18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</row>
    <row r="880" spans="1:77" s="41" customFormat="1" ht="15.75">
      <c r="A880" s="64">
        <f>IF(F880&lt;&gt;"",1+MAX($A$2:A879),"")</f>
        <v>765</v>
      </c>
      <c r="B880" s="313"/>
      <c r="C880" s="226" t="s">
        <v>752</v>
      </c>
      <c r="D880" s="188">
        <v>2</v>
      </c>
      <c r="E880" s="189">
        <v>0</v>
      </c>
      <c r="F880" s="188">
        <f t="shared" si="376"/>
        <v>2</v>
      </c>
      <c r="G880" s="190" t="s">
        <v>14</v>
      </c>
      <c r="H880" s="191">
        <v>0</v>
      </c>
      <c r="I880" s="192">
        <f t="shared" si="377"/>
        <v>0</v>
      </c>
      <c r="J880" s="193">
        <v>0</v>
      </c>
      <c r="K880" s="194">
        <f t="shared" si="378"/>
        <v>0</v>
      </c>
      <c r="L880" s="195">
        <v>55</v>
      </c>
      <c r="M880" s="196">
        <f t="shared" si="379"/>
        <v>0</v>
      </c>
      <c r="N880" s="197">
        <f t="shared" si="380"/>
        <v>0</v>
      </c>
      <c r="O880" s="198"/>
      <c r="P880" s="18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</row>
    <row r="881" spans="1:77" s="41" customFormat="1" ht="15.75">
      <c r="A881" s="64">
        <f>IF(F881&lt;&gt;"",1+MAX($A$2:A880),"")</f>
        <v>766</v>
      </c>
      <c r="B881" s="313"/>
      <c r="C881" s="226" t="s">
        <v>753</v>
      </c>
      <c r="D881" s="188">
        <v>80</v>
      </c>
      <c r="E881" s="189">
        <v>0</v>
      </c>
      <c r="F881" s="188">
        <f t="shared" si="376"/>
        <v>80</v>
      </c>
      <c r="G881" s="190" t="s">
        <v>14</v>
      </c>
      <c r="H881" s="191">
        <v>0</v>
      </c>
      <c r="I881" s="192">
        <f t="shared" si="377"/>
        <v>0</v>
      </c>
      <c r="J881" s="193">
        <v>0</v>
      </c>
      <c r="K881" s="194">
        <f t="shared" si="378"/>
        <v>0</v>
      </c>
      <c r="L881" s="195">
        <v>55</v>
      </c>
      <c r="M881" s="196">
        <f t="shared" si="379"/>
        <v>0</v>
      </c>
      <c r="N881" s="197">
        <f t="shared" si="380"/>
        <v>0</v>
      </c>
      <c r="O881" s="198"/>
      <c r="P881" s="18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</row>
    <row r="882" spans="1:77" s="41" customFormat="1" ht="15.75">
      <c r="A882" s="64">
        <f>IF(F882&lt;&gt;"",1+MAX($A$2:A881),"")</f>
        <v>767</v>
      </c>
      <c r="B882" s="313"/>
      <c r="C882" s="226" t="s">
        <v>754</v>
      </c>
      <c r="D882" s="188">
        <v>35</v>
      </c>
      <c r="E882" s="189">
        <v>0</v>
      </c>
      <c r="F882" s="188">
        <f t="shared" si="376"/>
        <v>35</v>
      </c>
      <c r="G882" s="190" t="s">
        <v>14</v>
      </c>
      <c r="H882" s="191">
        <v>0</v>
      </c>
      <c r="I882" s="192">
        <f t="shared" si="377"/>
        <v>0</v>
      </c>
      <c r="J882" s="193">
        <v>0</v>
      </c>
      <c r="K882" s="194">
        <f t="shared" si="378"/>
        <v>0</v>
      </c>
      <c r="L882" s="195">
        <v>55</v>
      </c>
      <c r="M882" s="196">
        <f t="shared" si="379"/>
        <v>0</v>
      </c>
      <c r="N882" s="197">
        <f t="shared" si="380"/>
        <v>0</v>
      </c>
      <c r="O882" s="198"/>
      <c r="P882" s="18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</row>
    <row r="883" spans="1:77" s="41" customFormat="1" ht="15.75">
      <c r="A883" s="64" t="str">
        <f>IF(F883&lt;&gt;"",1+MAX($A$2:A882),"")</f>
        <v/>
      </c>
      <c r="B883" s="313"/>
      <c r="C883" s="270" t="s">
        <v>755</v>
      </c>
      <c r="D883" s="188"/>
      <c r="E883" s="189"/>
      <c r="F883" s="188"/>
      <c r="G883" s="190"/>
      <c r="H883" s="191"/>
      <c r="I883" s="192"/>
      <c r="J883" s="192"/>
      <c r="K883" s="192"/>
      <c r="L883" s="195"/>
      <c r="M883" s="229"/>
      <c r="N883" s="197"/>
      <c r="O883" s="198"/>
      <c r="P883" s="18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</row>
    <row r="884" spans="1:77" s="41" customFormat="1" ht="15.75">
      <c r="A884" s="64">
        <f>IF(F884&lt;&gt;"",1+MAX($A$2:A883),"")</f>
        <v>768</v>
      </c>
      <c r="B884" s="313"/>
      <c r="C884" s="226" t="s">
        <v>756</v>
      </c>
      <c r="D884" s="188">
        <v>1</v>
      </c>
      <c r="E884" s="189">
        <v>0</v>
      </c>
      <c r="F884" s="188">
        <f t="shared" ref="F884:F931" si="381">(1+E884)*D884</f>
        <v>1</v>
      </c>
      <c r="G884" s="190" t="s">
        <v>14</v>
      </c>
      <c r="H884" s="191">
        <v>0</v>
      </c>
      <c r="I884" s="192">
        <f t="shared" ref="I884:I931" si="382">H884*F884</f>
        <v>0</v>
      </c>
      <c r="J884" s="193">
        <v>0</v>
      </c>
      <c r="K884" s="194">
        <f t="shared" ref="K884:K931" si="383">J884*F884</f>
        <v>0</v>
      </c>
      <c r="L884" s="195">
        <v>55</v>
      </c>
      <c r="M884" s="196">
        <f t="shared" ref="M884:M931" si="384">L884*K884</f>
        <v>0</v>
      </c>
      <c r="N884" s="197">
        <f t="shared" ref="N884:N931" si="385">M884+I884</f>
        <v>0</v>
      </c>
      <c r="O884" s="198"/>
      <c r="P884" s="18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</row>
    <row r="885" spans="1:77" s="41" customFormat="1" ht="15.75">
      <c r="A885" s="64">
        <f>IF(F885&lt;&gt;"",1+MAX($A$2:A884),"")</f>
        <v>769</v>
      </c>
      <c r="B885" s="313"/>
      <c r="C885" s="226" t="s">
        <v>757</v>
      </c>
      <c r="D885" s="188">
        <v>1</v>
      </c>
      <c r="E885" s="189">
        <v>0</v>
      </c>
      <c r="F885" s="188">
        <f t="shared" si="381"/>
        <v>1</v>
      </c>
      <c r="G885" s="190" t="s">
        <v>14</v>
      </c>
      <c r="H885" s="191">
        <v>0</v>
      </c>
      <c r="I885" s="192">
        <f t="shared" si="382"/>
        <v>0</v>
      </c>
      <c r="J885" s="193">
        <v>0</v>
      </c>
      <c r="K885" s="194">
        <f t="shared" si="383"/>
        <v>0</v>
      </c>
      <c r="L885" s="195">
        <v>55</v>
      </c>
      <c r="M885" s="196">
        <f t="shared" si="384"/>
        <v>0</v>
      </c>
      <c r="N885" s="197">
        <f t="shared" si="385"/>
        <v>0</v>
      </c>
      <c r="O885" s="198"/>
      <c r="P885" s="18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</row>
    <row r="886" spans="1:77" s="41" customFormat="1" ht="15.75">
      <c r="A886" s="64">
        <f>IF(F886&lt;&gt;"",1+MAX($A$2:A885),"")</f>
        <v>770</v>
      </c>
      <c r="B886" s="313"/>
      <c r="C886" s="226" t="s">
        <v>758</v>
      </c>
      <c r="D886" s="188">
        <v>1</v>
      </c>
      <c r="E886" s="189">
        <v>0</v>
      </c>
      <c r="F886" s="188">
        <f t="shared" si="381"/>
        <v>1</v>
      </c>
      <c r="G886" s="190" t="s">
        <v>14</v>
      </c>
      <c r="H886" s="191">
        <v>0</v>
      </c>
      <c r="I886" s="192">
        <f t="shared" si="382"/>
        <v>0</v>
      </c>
      <c r="J886" s="193">
        <v>0</v>
      </c>
      <c r="K886" s="194">
        <f t="shared" si="383"/>
        <v>0</v>
      </c>
      <c r="L886" s="195">
        <v>55</v>
      </c>
      <c r="M886" s="196">
        <f t="shared" si="384"/>
        <v>0</v>
      </c>
      <c r="N886" s="197">
        <f t="shared" si="385"/>
        <v>0</v>
      </c>
      <c r="O886" s="198"/>
      <c r="P886" s="18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</row>
    <row r="887" spans="1:77" s="41" customFormat="1" ht="15.75">
      <c r="A887" s="64">
        <f>IF(F887&lt;&gt;"",1+MAX($A$2:A886),"")</f>
        <v>771</v>
      </c>
      <c r="B887" s="313"/>
      <c r="C887" s="226" t="s">
        <v>759</v>
      </c>
      <c r="D887" s="188">
        <v>1</v>
      </c>
      <c r="E887" s="189">
        <v>0</v>
      </c>
      <c r="F887" s="188">
        <f t="shared" si="381"/>
        <v>1</v>
      </c>
      <c r="G887" s="190" t="s">
        <v>14</v>
      </c>
      <c r="H887" s="191">
        <v>0</v>
      </c>
      <c r="I887" s="192">
        <f t="shared" si="382"/>
        <v>0</v>
      </c>
      <c r="J887" s="193">
        <v>0</v>
      </c>
      <c r="K887" s="194">
        <f t="shared" si="383"/>
        <v>0</v>
      </c>
      <c r="L887" s="195">
        <v>55</v>
      </c>
      <c r="M887" s="196">
        <f t="shared" si="384"/>
        <v>0</v>
      </c>
      <c r="N887" s="197">
        <f t="shared" si="385"/>
        <v>0</v>
      </c>
      <c r="O887" s="198"/>
      <c r="P887" s="18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</row>
    <row r="888" spans="1:77" s="41" customFormat="1" ht="15.75">
      <c r="A888" s="64">
        <f>IF(F888&lt;&gt;"",1+MAX($A$2:A887),"")</f>
        <v>772</v>
      </c>
      <c r="B888" s="313"/>
      <c r="C888" s="226" t="s">
        <v>760</v>
      </c>
      <c r="D888" s="188">
        <v>1</v>
      </c>
      <c r="E888" s="189">
        <v>0</v>
      </c>
      <c r="F888" s="188">
        <f t="shared" si="381"/>
        <v>1</v>
      </c>
      <c r="G888" s="190" t="s">
        <v>14</v>
      </c>
      <c r="H888" s="191">
        <v>0</v>
      </c>
      <c r="I888" s="192">
        <f t="shared" si="382"/>
        <v>0</v>
      </c>
      <c r="J888" s="193">
        <v>0</v>
      </c>
      <c r="K888" s="194">
        <f t="shared" si="383"/>
        <v>0</v>
      </c>
      <c r="L888" s="195">
        <v>55</v>
      </c>
      <c r="M888" s="196">
        <f t="shared" si="384"/>
        <v>0</v>
      </c>
      <c r="N888" s="197">
        <f t="shared" si="385"/>
        <v>0</v>
      </c>
      <c r="O888" s="198"/>
      <c r="P888" s="18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</row>
    <row r="889" spans="1:77" s="41" customFormat="1" ht="15.75">
      <c r="A889" s="64">
        <f>IF(F889&lt;&gt;"",1+MAX($A$2:A888),"")</f>
        <v>773</v>
      </c>
      <c r="B889" s="313"/>
      <c r="C889" s="226" t="s">
        <v>761</v>
      </c>
      <c r="D889" s="188">
        <v>1</v>
      </c>
      <c r="E889" s="189">
        <v>0</v>
      </c>
      <c r="F889" s="188">
        <f t="shared" si="381"/>
        <v>1</v>
      </c>
      <c r="G889" s="190" t="s">
        <v>14</v>
      </c>
      <c r="H889" s="191">
        <v>0</v>
      </c>
      <c r="I889" s="192">
        <f t="shared" si="382"/>
        <v>0</v>
      </c>
      <c r="J889" s="193">
        <v>0</v>
      </c>
      <c r="K889" s="194">
        <f t="shared" si="383"/>
        <v>0</v>
      </c>
      <c r="L889" s="195">
        <v>55</v>
      </c>
      <c r="M889" s="196">
        <f t="shared" si="384"/>
        <v>0</v>
      </c>
      <c r="N889" s="197">
        <f t="shared" si="385"/>
        <v>0</v>
      </c>
      <c r="O889" s="198"/>
      <c r="P889" s="18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</row>
    <row r="890" spans="1:77" s="41" customFormat="1" ht="15.75">
      <c r="A890" s="64">
        <f>IF(F890&lt;&gt;"",1+MAX($A$2:A889),"")</f>
        <v>774</v>
      </c>
      <c r="B890" s="313"/>
      <c r="C890" s="226" t="s">
        <v>762</v>
      </c>
      <c r="D890" s="188">
        <v>1</v>
      </c>
      <c r="E890" s="189">
        <v>0</v>
      </c>
      <c r="F890" s="188">
        <f t="shared" si="381"/>
        <v>1</v>
      </c>
      <c r="G890" s="190" t="s">
        <v>14</v>
      </c>
      <c r="H890" s="191">
        <v>0</v>
      </c>
      <c r="I890" s="192">
        <f t="shared" si="382"/>
        <v>0</v>
      </c>
      <c r="J890" s="193">
        <v>0</v>
      </c>
      <c r="K890" s="194">
        <f t="shared" si="383"/>
        <v>0</v>
      </c>
      <c r="L890" s="195">
        <v>55</v>
      </c>
      <c r="M890" s="196">
        <f t="shared" si="384"/>
        <v>0</v>
      </c>
      <c r="N890" s="197">
        <f t="shared" si="385"/>
        <v>0</v>
      </c>
      <c r="O890" s="198"/>
      <c r="P890" s="18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</row>
    <row r="891" spans="1:77" s="41" customFormat="1" ht="15.75">
      <c r="A891" s="64">
        <f>IF(F891&lt;&gt;"",1+MAX($A$2:A890),"")</f>
        <v>775</v>
      </c>
      <c r="B891" s="313"/>
      <c r="C891" s="226" t="s">
        <v>763</v>
      </c>
      <c r="D891" s="188">
        <v>1</v>
      </c>
      <c r="E891" s="189">
        <v>0</v>
      </c>
      <c r="F891" s="188">
        <f t="shared" si="381"/>
        <v>1</v>
      </c>
      <c r="G891" s="190" t="s">
        <v>14</v>
      </c>
      <c r="H891" s="191">
        <v>0</v>
      </c>
      <c r="I891" s="192">
        <f t="shared" si="382"/>
        <v>0</v>
      </c>
      <c r="J891" s="193">
        <v>0</v>
      </c>
      <c r="K891" s="194">
        <f t="shared" si="383"/>
        <v>0</v>
      </c>
      <c r="L891" s="195">
        <v>55</v>
      </c>
      <c r="M891" s="196">
        <f t="shared" si="384"/>
        <v>0</v>
      </c>
      <c r="N891" s="197">
        <f t="shared" si="385"/>
        <v>0</v>
      </c>
      <c r="O891" s="198"/>
      <c r="P891" s="18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</row>
    <row r="892" spans="1:77" s="41" customFormat="1" ht="15.75">
      <c r="A892" s="64">
        <f>IF(F892&lt;&gt;"",1+MAX($A$2:A891),"")</f>
        <v>776</v>
      </c>
      <c r="B892" s="313"/>
      <c r="C892" s="226" t="s">
        <v>764</v>
      </c>
      <c r="D892" s="188">
        <v>1</v>
      </c>
      <c r="E892" s="189">
        <v>0</v>
      </c>
      <c r="F892" s="188">
        <f t="shared" si="381"/>
        <v>1</v>
      </c>
      <c r="G892" s="190" t="s">
        <v>14</v>
      </c>
      <c r="H892" s="191">
        <v>0</v>
      </c>
      <c r="I892" s="192">
        <f t="shared" si="382"/>
        <v>0</v>
      </c>
      <c r="J892" s="193">
        <v>0</v>
      </c>
      <c r="K892" s="194">
        <f t="shared" si="383"/>
        <v>0</v>
      </c>
      <c r="L892" s="195">
        <v>55</v>
      </c>
      <c r="M892" s="196">
        <f t="shared" si="384"/>
        <v>0</v>
      </c>
      <c r="N892" s="197">
        <f t="shared" si="385"/>
        <v>0</v>
      </c>
      <c r="O892" s="198"/>
      <c r="P892" s="18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</row>
    <row r="893" spans="1:77" s="41" customFormat="1" ht="15.75">
      <c r="A893" s="64">
        <f>IF(F893&lt;&gt;"",1+MAX($A$2:A892),"")</f>
        <v>777</v>
      </c>
      <c r="B893" s="313"/>
      <c r="C893" s="226" t="s">
        <v>765</v>
      </c>
      <c r="D893" s="188">
        <v>1</v>
      </c>
      <c r="E893" s="189">
        <v>0</v>
      </c>
      <c r="F893" s="188">
        <f t="shared" si="381"/>
        <v>1</v>
      </c>
      <c r="G893" s="190" t="s">
        <v>14</v>
      </c>
      <c r="H893" s="191">
        <v>0</v>
      </c>
      <c r="I893" s="192">
        <f t="shared" si="382"/>
        <v>0</v>
      </c>
      <c r="J893" s="193">
        <v>0</v>
      </c>
      <c r="K893" s="194">
        <f t="shared" si="383"/>
        <v>0</v>
      </c>
      <c r="L893" s="195">
        <v>55</v>
      </c>
      <c r="M893" s="196">
        <f t="shared" si="384"/>
        <v>0</v>
      </c>
      <c r="N893" s="197">
        <f t="shared" si="385"/>
        <v>0</v>
      </c>
      <c r="O893" s="198"/>
      <c r="P893" s="18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</row>
    <row r="894" spans="1:77" s="41" customFormat="1" ht="15.75">
      <c r="A894" s="64">
        <f>IF(F894&lt;&gt;"",1+MAX($A$2:A893),"")</f>
        <v>778</v>
      </c>
      <c r="B894" s="313"/>
      <c r="C894" s="226" t="s">
        <v>766</v>
      </c>
      <c r="D894" s="188">
        <v>1</v>
      </c>
      <c r="E894" s="189">
        <v>0</v>
      </c>
      <c r="F894" s="188">
        <f t="shared" si="381"/>
        <v>1</v>
      </c>
      <c r="G894" s="190" t="s">
        <v>14</v>
      </c>
      <c r="H894" s="191">
        <v>0</v>
      </c>
      <c r="I894" s="192">
        <f t="shared" si="382"/>
        <v>0</v>
      </c>
      <c r="J894" s="193">
        <v>0</v>
      </c>
      <c r="K894" s="194">
        <f t="shared" si="383"/>
        <v>0</v>
      </c>
      <c r="L894" s="195">
        <v>55</v>
      </c>
      <c r="M894" s="196">
        <f t="shared" si="384"/>
        <v>0</v>
      </c>
      <c r="N894" s="197">
        <f t="shared" si="385"/>
        <v>0</v>
      </c>
      <c r="O894" s="198"/>
      <c r="P894" s="18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</row>
    <row r="895" spans="1:77" s="41" customFormat="1" ht="15.75">
      <c r="A895" s="64">
        <f>IF(F895&lt;&gt;"",1+MAX($A$2:A894),"")</f>
        <v>779</v>
      </c>
      <c r="B895" s="313"/>
      <c r="C895" s="226" t="s">
        <v>767</v>
      </c>
      <c r="D895" s="188">
        <v>1</v>
      </c>
      <c r="E895" s="189">
        <v>0</v>
      </c>
      <c r="F895" s="188">
        <f t="shared" si="381"/>
        <v>1</v>
      </c>
      <c r="G895" s="190" t="s">
        <v>14</v>
      </c>
      <c r="H895" s="191">
        <v>0</v>
      </c>
      <c r="I895" s="192">
        <f t="shared" si="382"/>
        <v>0</v>
      </c>
      <c r="J895" s="193">
        <v>0</v>
      </c>
      <c r="K895" s="194">
        <f t="shared" si="383"/>
        <v>0</v>
      </c>
      <c r="L895" s="195">
        <v>55</v>
      </c>
      <c r="M895" s="196">
        <f t="shared" si="384"/>
        <v>0</v>
      </c>
      <c r="N895" s="197">
        <f t="shared" si="385"/>
        <v>0</v>
      </c>
      <c r="O895" s="198"/>
      <c r="P895" s="18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</row>
    <row r="896" spans="1:77" s="41" customFormat="1" ht="15.75">
      <c r="A896" s="64">
        <f>IF(F896&lt;&gt;"",1+MAX($A$2:A895),"")</f>
        <v>780</v>
      </c>
      <c r="B896" s="313"/>
      <c r="C896" s="226" t="s">
        <v>768</v>
      </c>
      <c r="D896" s="188">
        <v>1</v>
      </c>
      <c r="E896" s="189">
        <v>0</v>
      </c>
      <c r="F896" s="188">
        <f t="shared" si="381"/>
        <v>1</v>
      </c>
      <c r="G896" s="190" t="s">
        <v>14</v>
      </c>
      <c r="H896" s="191">
        <v>0</v>
      </c>
      <c r="I896" s="192">
        <f t="shared" si="382"/>
        <v>0</v>
      </c>
      <c r="J896" s="193">
        <v>0</v>
      </c>
      <c r="K896" s="194">
        <f t="shared" si="383"/>
        <v>0</v>
      </c>
      <c r="L896" s="195">
        <v>55</v>
      </c>
      <c r="M896" s="196">
        <f t="shared" si="384"/>
        <v>0</v>
      </c>
      <c r="N896" s="197">
        <f t="shared" si="385"/>
        <v>0</v>
      </c>
      <c r="O896" s="198"/>
      <c r="P896" s="18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</row>
    <row r="897" spans="1:77" s="41" customFormat="1" ht="15.75">
      <c r="A897" s="64">
        <f>IF(F897&lt;&gt;"",1+MAX($A$2:A896),"")</f>
        <v>781</v>
      </c>
      <c r="B897" s="313"/>
      <c r="C897" s="226" t="s">
        <v>769</v>
      </c>
      <c r="D897" s="188">
        <v>1</v>
      </c>
      <c r="E897" s="189">
        <v>0</v>
      </c>
      <c r="F897" s="188">
        <f t="shared" si="381"/>
        <v>1</v>
      </c>
      <c r="G897" s="190" t="s">
        <v>14</v>
      </c>
      <c r="H897" s="191">
        <v>0</v>
      </c>
      <c r="I897" s="192">
        <f t="shared" si="382"/>
        <v>0</v>
      </c>
      <c r="J897" s="193">
        <v>0</v>
      </c>
      <c r="K897" s="194">
        <f t="shared" si="383"/>
        <v>0</v>
      </c>
      <c r="L897" s="195">
        <v>55</v>
      </c>
      <c r="M897" s="196">
        <f t="shared" si="384"/>
        <v>0</v>
      </c>
      <c r="N897" s="197">
        <f t="shared" si="385"/>
        <v>0</v>
      </c>
      <c r="O897" s="198"/>
      <c r="P897" s="18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</row>
    <row r="898" spans="1:77" s="41" customFormat="1" ht="15.75">
      <c r="A898" s="64">
        <f>IF(F898&lt;&gt;"",1+MAX($A$2:A897),"")</f>
        <v>782</v>
      </c>
      <c r="B898" s="313"/>
      <c r="C898" s="226" t="s">
        <v>770</v>
      </c>
      <c r="D898" s="188">
        <v>1</v>
      </c>
      <c r="E898" s="189">
        <v>0</v>
      </c>
      <c r="F898" s="188">
        <f t="shared" si="381"/>
        <v>1</v>
      </c>
      <c r="G898" s="190" t="s">
        <v>14</v>
      </c>
      <c r="H898" s="191">
        <v>0</v>
      </c>
      <c r="I898" s="192">
        <f t="shared" si="382"/>
        <v>0</v>
      </c>
      <c r="J898" s="193">
        <v>0</v>
      </c>
      <c r="K898" s="194">
        <f t="shared" si="383"/>
        <v>0</v>
      </c>
      <c r="L898" s="195">
        <v>55</v>
      </c>
      <c r="M898" s="196">
        <f t="shared" si="384"/>
        <v>0</v>
      </c>
      <c r="N898" s="197">
        <f t="shared" si="385"/>
        <v>0</v>
      </c>
      <c r="O898" s="198"/>
      <c r="P898" s="18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</row>
    <row r="899" spans="1:77" s="41" customFormat="1" ht="15.75">
      <c r="A899" s="64">
        <f>IF(F899&lt;&gt;"",1+MAX($A$2:A898),"")</f>
        <v>783</v>
      </c>
      <c r="B899" s="313"/>
      <c r="C899" s="226" t="s">
        <v>771</v>
      </c>
      <c r="D899" s="188">
        <v>1</v>
      </c>
      <c r="E899" s="189">
        <v>0</v>
      </c>
      <c r="F899" s="188">
        <f t="shared" si="381"/>
        <v>1</v>
      </c>
      <c r="G899" s="190" t="s">
        <v>14</v>
      </c>
      <c r="H899" s="191">
        <v>0</v>
      </c>
      <c r="I899" s="192">
        <f t="shared" si="382"/>
        <v>0</v>
      </c>
      <c r="J899" s="193">
        <v>0</v>
      </c>
      <c r="K899" s="194">
        <f t="shared" si="383"/>
        <v>0</v>
      </c>
      <c r="L899" s="195">
        <v>55</v>
      </c>
      <c r="M899" s="196">
        <f t="shared" si="384"/>
        <v>0</v>
      </c>
      <c r="N899" s="197">
        <f t="shared" si="385"/>
        <v>0</v>
      </c>
      <c r="O899" s="198"/>
      <c r="P899" s="18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</row>
    <row r="900" spans="1:77" s="41" customFormat="1" ht="15.75">
      <c r="A900" s="64">
        <f>IF(F900&lt;&gt;"",1+MAX($A$2:A899),"")</f>
        <v>784</v>
      </c>
      <c r="B900" s="313"/>
      <c r="C900" s="226" t="s">
        <v>772</v>
      </c>
      <c r="D900" s="188">
        <v>1</v>
      </c>
      <c r="E900" s="189">
        <v>0</v>
      </c>
      <c r="F900" s="188">
        <f t="shared" si="381"/>
        <v>1</v>
      </c>
      <c r="G900" s="190" t="s">
        <v>14</v>
      </c>
      <c r="H900" s="191">
        <v>0</v>
      </c>
      <c r="I900" s="192">
        <f t="shared" si="382"/>
        <v>0</v>
      </c>
      <c r="J900" s="193">
        <v>0</v>
      </c>
      <c r="K900" s="194">
        <f t="shared" si="383"/>
        <v>0</v>
      </c>
      <c r="L900" s="195">
        <v>55</v>
      </c>
      <c r="M900" s="196">
        <f t="shared" si="384"/>
        <v>0</v>
      </c>
      <c r="N900" s="197">
        <f t="shared" si="385"/>
        <v>0</v>
      </c>
      <c r="O900" s="198"/>
      <c r="P900" s="18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</row>
    <row r="901" spans="1:77" s="41" customFormat="1" ht="15.75">
      <c r="A901" s="64">
        <f>IF(F901&lt;&gt;"",1+MAX($A$2:A900),"")</f>
        <v>785</v>
      </c>
      <c r="B901" s="313"/>
      <c r="C901" s="226" t="s">
        <v>773</v>
      </c>
      <c r="D901" s="188">
        <v>1</v>
      </c>
      <c r="E901" s="189">
        <v>0</v>
      </c>
      <c r="F901" s="188">
        <f t="shared" si="381"/>
        <v>1</v>
      </c>
      <c r="G901" s="190" t="s">
        <v>14</v>
      </c>
      <c r="H901" s="191">
        <v>0</v>
      </c>
      <c r="I901" s="192">
        <f t="shared" si="382"/>
        <v>0</v>
      </c>
      <c r="J901" s="193">
        <v>0</v>
      </c>
      <c r="K901" s="194">
        <f t="shared" si="383"/>
        <v>0</v>
      </c>
      <c r="L901" s="195">
        <v>55</v>
      </c>
      <c r="M901" s="196">
        <f t="shared" si="384"/>
        <v>0</v>
      </c>
      <c r="N901" s="197">
        <f t="shared" si="385"/>
        <v>0</v>
      </c>
      <c r="O901" s="198"/>
      <c r="P901" s="18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</row>
    <row r="902" spans="1:77" s="41" customFormat="1" ht="15.75">
      <c r="A902" s="64">
        <f>IF(F902&lt;&gt;"",1+MAX($A$2:A901),"")</f>
        <v>786</v>
      </c>
      <c r="B902" s="313"/>
      <c r="C902" s="226" t="s">
        <v>774</v>
      </c>
      <c r="D902" s="188">
        <v>1</v>
      </c>
      <c r="E902" s="189">
        <v>0</v>
      </c>
      <c r="F902" s="188">
        <f t="shared" si="381"/>
        <v>1</v>
      </c>
      <c r="G902" s="190" t="s">
        <v>14</v>
      </c>
      <c r="H902" s="191">
        <v>0</v>
      </c>
      <c r="I902" s="192">
        <f t="shared" si="382"/>
        <v>0</v>
      </c>
      <c r="J902" s="193">
        <v>0</v>
      </c>
      <c r="K902" s="194">
        <f t="shared" si="383"/>
        <v>0</v>
      </c>
      <c r="L902" s="195">
        <v>55</v>
      </c>
      <c r="M902" s="196">
        <f t="shared" si="384"/>
        <v>0</v>
      </c>
      <c r="N902" s="197">
        <f t="shared" si="385"/>
        <v>0</v>
      </c>
      <c r="O902" s="198"/>
      <c r="P902" s="18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</row>
    <row r="903" spans="1:77" s="41" customFormat="1" ht="15.75">
      <c r="A903" s="64">
        <f>IF(F903&lt;&gt;"",1+MAX($A$2:A902),"")</f>
        <v>787</v>
      </c>
      <c r="B903" s="313"/>
      <c r="C903" s="226" t="s">
        <v>775</v>
      </c>
      <c r="D903" s="188">
        <v>1</v>
      </c>
      <c r="E903" s="189">
        <v>0</v>
      </c>
      <c r="F903" s="188">
        <f t="shared" si="381"/>
        <v>1</v>
      </c>
      <c r="G903" s="190" t="s">
        <v>14</v>
      </c>
      <c r="H903" s="191">
        <v>0</v>
      </c>
      <c r="I903" s="192">
        <f t="shared" si="382"/>
        <v>0</v>
      </c>
      <c r="J903" s="193">
        <v>0</v>
      </c>
      <c r="K903" s="194">
        <f t="shared" si="383"/>
        <v>0</v>
      </c>
      <c r="L903" s="195">
        <v>55</v>
      </c>
      <c r="M903" s="196">
        <f t="shared" si="384"/>
        <v>0</v>
      </c>
      <c r="N903" s="197">
        <f t="shared" si="385"/>
        <v>0</v>
      </c>
      <c r="O903" s="198"/>
      <c r="P903" s="18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</row>
    <row r="904" spans="1:77" s="41" customFormat="1" ht="15.75">
      <c r="A904" s="64">
        <f>IF(F904&lt;&gt;"",1+MAX($A$2:A903),"")</f>
        <v>788</v>
      </c>
      <c r="B904" s="313"/>
      <c r="C904" s="226" t="s">
        <v>776</v>
      </c>
      <c r="D904" s="188">
        <v>1</v>
      </c>
      <c r="E904" s="189">
        <v>0</v>
      </c>
      <c r="F904" s="188">
        <f t="shared" si="381"/>
        <v>1</v>
      </c>
      <c r="G904" s="190" t="s">
        <v>14</v>
      </c>
      <c r="H904" s="191">
        <v>0</v>
      </c>
      <c r="I904" s="192">
        <f t="shared" si="382"/>
        <v>0</v>
      </c>
      <c r="J904" s="193">
        <v>0</v>
      </c>
      <c r="K904" s="194">
        <f t="shared" si="383"/>
        <v>0</v>
      </c>
      <c r="L904" s="195">
        <v>55</v>
      </c>
      <c r="M904" s="196">
        <f t="shared" si="384"/>
        <v>0</v>
      </c>
      <c r="N904" s="197">
        <f t="shared" si="385"/>
        <v>0</v>
      </c>
      <c r="O904" s="198"/>
      <c r="P904" s="18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</row>
    <row r="905" spans="1:77" s="41" customFormat="1" ht="15.75">
      <c r="A905" s="64">
        <f>IF(F905&lt;&gt;"",1+MAX($A$2:A904),"")</f>
        <v>789</v>
      </c>
      <c r="B905" s="313"/>
      <c r="C905" s="226" t="s">
        <v>777</v>
      </c>
      <c r="D905" s="188">
        <v>1</v>
      </c>
      <c r="E905" s="189">
        <v>0</v>
      </c>
      <c r="F905" s="188">
        <f t="shared" si="381"/>
        <v>1</v>
      </c>
      <c r="G905" s="190" t="s">
        <v>14</v>
      </c>
      <c r="H905" s="191">
        <v>0</v>
      </c>
      <c r="I905" s="192">
        <f t="shared" si="382"/>
        <v>0</v>
      </c>
      <c r="J905" s="193">
        <v>0</v>
      </c>
      <c r="K905" s="194">
        <f t="shared" si="383"/>
        <v>0</v>
      </c>
      <c r="L905" s="195">
        <v>55</v>
      </c>
      <c r="M905" s="196">
        <f t="shared" si="384"/>
        <v>0</v>
      </c>
      <c r="N905" s="197">
        <f t="shared" si="385"/>
        <v>0</v>
      </c>
      <c r="O905" s="198"/>
      <c r="P905" s="18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</row>
    <row r="906" spans="1:77" s="41" customFormat="1" ht="15.75">
      <c r="A906" s="64">
        <f>IF(F906&lt;&gt;"",1+MAX($A$2:A905),"")</f>
        <v>790</v>
      </c>
      <c r="B906" s="313"/>
      <c r="C906" s="226" t="s">
        <v>778</v>
      </c>
      <c r="D906" s="188">
        <v>1</v>
      </c>
      <c r="E906" s="189">
        <v>0</v>
      </c>
      <c r="F906" s="188">
        <f t="shared" si="381"/>
        <v>1</v>
      </c>
      <c r="G906" s="190" t="s">
        <v>14</v>
      </c>
      <c r="H906" s="191">
        <v>0</v>
      </c>
      <c r="I906" s="192">
        <f t="shared" si="382"/>
        <v>0</v>
      </c>
      <c r="J906" s="193">
        <v>0</v>
      </c>
      <c r="K906" s="194">
        <f t="shared" si="383"/>
        <v>0</v>
      </c>
      <c r="L906" s="195">
        <v>55</v>
      </c>
      <c r="M906" s="196">
        <f t="shared" si="384"/>
        <v>0</v>
      </c>
      <c r="N906" s="197">
        <f t="shared" si="385"/>
        <v>0</v>
      </c>
      <c r="O906" s="198"/>
      <c r="P906" s="18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</row>
    <row r="907" spans="1:77" s="41" customFormat="1" ht="15.75">
      <c r="A907" s="64">
        <f>IF(F907&lt;&gt;"",1+MAX($A$2:A906),"")</f>
        <v>791</v>
      </c>
      <c r="B907" s="313"/>
      <c r="C907" s="226" t="s">
        <v>779</v>
      </c>
      <c r="D907" s="188">
        <v>1</v>
      </c>
      <c r="E907" s="189">
        <v>0</v>
      </c>
      <c r="F907" s="188">
        <f t="shared" si="381"/>
        <v>1</v>
      </c>
      <c r="G907" s="190" t="s">
        <v>14</v>
      </c>
      <c r="H907" s="191">
        <v>0</v>
      </c>
      <c r="I907" s="192">
        <f t="shared" si="382"/>
        <v>0</v>
      </c>
      <c r="J907" s="193">
        <v>0</v>
      </c>
      <c r="K907" s="194">
        <f t="shared" si="383"/>
        <v>0</v>
      </c>
      <c r="L907" s="195">
        <v>55</v>
      </c>
      <c r="M907" s="196">
        <f t="shared" si="384"/>
        <v>0</v>
      </c>
      <c r="N907" s="197">
        <f t="shared" si="385"/>
        <v>0</v>
      </c>
      <c r="O907" s="198"/>
      <c r="P907" s="18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</row>
    <row r="908" spans="1:77" s="41" customFormat="1" ht="15.75">
      <c r="A908" s="64">
        <f>IF(F908&lt;&gt;"",1+MAX($A$2:A907),"")</f>
        <v>792</v>
      </c>
      <c r="B908" s="313"/>
      <c r="C908" s="226" t="s">
        <v>780</v>
      </c>
      <c r="D908" s="188">
        <v>1</v>
      </c>
      <c r="E908" s="189">
        <v>0</v>
      </c>
      <c r="F908" s="188">
        <f t="shared" si="381"/>
        <v>1</v>
      </c>
      <c r="G908" s="190" t="s">
        <v>14</v>
      </c>
      <c r="H908" s="191">
        <v>0</v>
      </c>
      <c r="I908" s="192">
        <f t="shared" si="382"/>
        <v>0</v>
      </c>
      <c r="J908" s="193">
        <v>0</v>
      </c>
      <c r="K908" s="194">
        <f t="shared" si="383"/>
        <v>0</v>
      </c>
      <c r="L908" s="195">
        <v>55</v>
      </c>
      <c r="M908" s="196">
        <f t="shared" si="384"/>
        <v>0</v>
      </c>
      <c r="N908" s="197">
        <f t="shared" si="385"/>
        <v>0</v>
      </c>
      <c r="O908" s="198"/>
      <c r="P908" s="18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</row>
    <row r="909" spans="1:77" s="41" customFormat="1" ht="15.75">
      <c r="A909" s="64">
        <f>IF(F909&lt;&gt;"",1+MAX($A$2:A908),"")</f>
        <v>793</v>
      </c>
      <c r="B909" s="313"/>
      <c r="C909" s="226" t="s">
        <v>781</v>
      </c>
      <c r="D909" s="188">
        <v>1</v>
      </c>
      <c r="E909" s="189">
        <v>0</v>
      </c>
      <c r="F909" s="188">
        <f t="shared" si="381"/>
        <v>1</v>
      </c>
      <c r="G909" s="190" t="s">
        <v>14</v>
      </c>
      <c r="H909" s="191">
        <v>0</v>
      </c>
      <c r="I909" s="192">
        <f t="shared" si="382"/>
        <v>0</v>
      </c>
      <c r="J909" s="193">
        <v>0</v>
      </c>
      <c r="K909" s="194">
        <f t="shared" si="383"/>
        <v>0</v>
      </c>
      <c r="L909" s="195">
        <v>55</v>
      </c>
      <c r="M909" s="196">
        <f t="shared" si="384"/>
        <v>0</v>
      </c>
      <c r="N909" s="197">
        <f t="shared" si="385"/>
        <v>0</v>
      </c>
      <c r="O909" s="198"/>
      <c r="P909" s="18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</row>
    <row r="910" spans="1:77" s="41" customFormat="1" ht="15.75">
      <c r="A910" s="64">
        <f>IF(F910&lt;&gt;"",1+MAX($A$2:A909),"")</f>
        <v>794</v>
      </c>
      <c r="B910" s="313"/>
      <c r="C910" s="226" t="s">
        <v>782</v>
      </c>
      <c r="D910" s="188">
        <v>1</v>
      </c>
      <c r="E910" s="189">
        <v>0</v>
      </c>
      <c r="F910" s="188">
        <f t="shared" si="381"/>
        <v>1</v>
      </c>
      <c r="G910" s="190" t="s">
        <v>14</v>
      </c>
      <c r="H910" s="191">
        <v>0</v>
      </c>
      <c r="I910" s="192">
        <f t="shared" si="382"/>
        <v>0</v>
      </c>
      <c r="J910" s="193">
        <v>0</v>
      </c>
      <c r="K910" s="194">
        <f t="shared" si="383"/>
        <v>0</v>
      </c>
      <c r="L910" s="195">
        <v>55</v>
      </c>
      <c r="M910" s="196">
        <f t="shared" si="384"/>
        <v>0</v>
      </c>
      <c r="N910" s="197">
        <f t="shared" si="385"/>
        <v>0</v>
      </c>
      <c r="O910" s="198"/>
      <c r="P910" s="18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</row>
    <row r="911" spans="1:77" s="41" customFormat="1" ht="15.75">
      <c r="A911" s="64">
        <f>IF(F911&lt;&gt;"",1+MAX($A$2:A910),"")</f>
        <v>795</v>
      </c>
      <c r="B911" s="313"/>
      <c r="C911" s="226" t="s">
        <v>783</v>
      </c>
      <c r="D911" s="188">
        <v>1</v>
      </c>
      <c r="E911" s="189">
        <v>0</v>
      </c>
      <c r="F911" s="188">
        <f t="shared" si="381"/>
        <v>1</v>
      </c>
      <c r="G911" s="190" t="s">
        <v>14</v>
      </c>
      <c r="H911" s="191">
        <v>0</v>
      </c>
      <c r="I911" s="192">
        <f t="shared" si="382"/>
        <v>0</v>
      </c>
      <c r="J911" s="193">
        <v>0</v>
      </c>
      <c r="K911" s="194">
        <f t="shared" si="383"/>
        <v>0</v>
      </c>
      <c r="L911" s="195">
        <v>55</v>
      </c>
      <c r="M911" s="196">
        <f t="shared" si="384"/>
        <v>0</v>
      </c>
      <c r="N911" s="197">
        <f t="shared" si="385"/>
        <v>0</v>
      </c>
      <c r="O911" s="198"/>
      <c r="P911" s="18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</row>
    <row r="912" spans="1:77" s="41" customFormat="1" ht="15.75">
      <c r="A912" s="64">
        <f>IF(F912&lt;&gt;"",1+MAX($A$2:A911),"")</f>
        <v>796</v>
      </c>
      <c r="B912" s="313"/>
      <c r="C912" s="226" t="s">
        <v>784</v>
      </c>
      <c r="D912" s="188">
        <v>1</v>
      </c>
      <c r="E912" s="189">
        <v>0</v>
      </c>
      <c r="F912" s="188">
        <f t="shared" si="381"/>
        <v>1</v>
      </c>
      <c r="G912" s="190" t="s">
        <v>14</v>
      </c>
      <c r="H912" s="191">
        <v>0</v>
      </c>
      <c r="I912" s="192">
        <f t="shared" si="382"/>
        <v>0</v>
      </c>
      <c r="J912" s="193">
        <v>0</v>
      </c>
      <c r="K912" s="194">
        <f t="shared" si="383"/>
        <v>0</v>
      </c>
      <c r="L912" s="195">
        <v>55</v>
      </c>
      <c r="M912" s="196">
        <f t="shared" si="384"/>
        <v>0</v>
      </c>
      <c r="N912" s="197">
        <f t="shared" si="385"/>
        <v>0</v>
      </c>
      <c r="O912" s="198"/>
      <c r="P912" s="18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</row>
    <row r="913" spans="1:77" s="41" customFormat="1" ht="15.75">
      <c r="A913" s="64">
        <f>IF(F913&lt;&gt;"",1+MAX($A$2:A912),"")</f>
        <v>797</v>
      </c>
      <c r="B913" s="313"/>
      <c r="C913" s="226" t="s">
        <v>785</v>
      </c>
      <c r="D913" s="188">
        <v>1</v>
      </c>
      <c r="E913" s="189">
        <v>0</v>
      </c>
      <c r="F913" s="188">
        <f t="shared" si="381"/>
        <v>1</v>
      </c>
      <c r="G913" s="190" t="s">
        <v>14</v>
      </c>
      <c r="H913" s="191">
        <v>0</v>
      </c>
      <c r="I913" s="192">
        <f t="shared" si="382"/>
        <v>0</v>
      </c>
      <c r="J913" s="193">
        <v>0</v>
      </c>
      <c r="K913" s="194">
        <f t="shared" si="383"/>
        <v>0</v>
      </c>
      <c r="L913" s="195">
        <v>55</v>
      </c>
      <c r="M913" s="196">
        <f t="shared" si="384"/>
        <v>0</v>
      </c>
      <c r="N913" s="197">
        <f t="shared" si="385"/>
        <v>0</v>
      </c>
      <c r="O913" s="198"/>
      <c r="P913" s="18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</row>
    <row r="914" spans="1:77" s="41" customFormat="1" ht="15.75">
      <c r="A914" s="64">
        <f>IF(F914&lt;&gt;"",1+MAX($A$2:A913),"")</f>
        <v>798</v>
      </c>
      <c r="B914" s="313"/>
      <c r="C914" s="226" t="s">
        <v>786</v>
      </c>
      <c r="D914" s="188">
        <v>1</v>
      </c>
      <c r="E914" s="189">
        <v>0</v>
      </c>
      <c r="F914" s="188">
        <f t="shared" si="381"/>
        <v>1</v>
      </c>
      <c r="G914" s="190" t="s">
        <v>14</v>
      </c>
      <c r="H914" s="191">
        <v>0</v>
      </c>
      <c r="I914" s="192">
        <f t="shared" si="382"/>
        <v>0</v>
      </c>
      <c r="J914" s="193">
        <v>0</v>
      </c>
      <c r="K914" s="194">
        <f t="shared" si="383"/>
        <v>0</v>
      </c>
      <c r="L914" s="195">
        <v>55</v>
      </c>
      <c r="M914" s="196">
        <f t="shared" si="384"/>
        <v>0</v>
      </c>
      <c r="N914" s="197">
        <f t="shared" si="385"/>
        <v>0</v>
      </c>
      <c r="O914" s="198"/>
      <c r="P914" s="18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</row>
    <row r="915" spans="1:77" s="41" customFormat="1" ht="15.75">
      <c r="A915" s="64">
        <f>IF(F915&lt;&gt;"",1+MAX($A$2:A914),"")</f>
        <v>799</v>
      </c>
      <c r="B915" s="313"/>
      <c r="C915" s="226" t="s">
        <v>787</v>
      </c>
      <c r="D915" s="188">
        <v>1</v>
      </c>
      <c r="E915" s="189">
        <v>0</v>
      </c>
      <c r="F915" s="188">
        <f t="shared" si="381"/>
        <v>1</v>
      </c>
      <c r="G915" s="190" t="s">
        <v>14</v>
      </c>
      <c r="H915" s="191">
        <v>0</v>
      </c>
      <c r="I915" s="192">
        <f t="shared" si="382"/>
        <v>0</v>
      </c>
      <c r="J915" s="193">
        <v>0</v>
      </c>
      <c r="K915" s="194">
        <f t="shared" si="383"/>
        <v>0</v>
      </c>
      <c r="L915" s="195">
        <v>55</v>
      </c>
      <c r="M915" s="196">
        <f t="shared" si="384"/>
        <v>0</v>
      </c>
      <c r="N915" s="197">
        <f t="shared" si="385"/>
        <v>0</v>
      </c>
      <c r="O915" s="198"/>
      <c r="P915" s="18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</row>
    <row r="916" spans="1:77" s="41" customFormat="1" ht="15.75">
      <c r="A916" s="64">
        <f>IF(F916&lt;&gt;"",1+MAX($A$2:A915),"")</f>
        <v>800</v>
      </c>
      <c r="B916" s="313"/>
      <c r="C916" s="226" t="s">
        <v>788</v>
      </c>
      <c r="D916" s="188">
        <v>1</v>
      </c>
      <c r="E916" s="189">
        <v>0</v>
      </c>
      <c r="F916" s="188">
        <f t="shared" si="381"/>
        <v>1</v>
      </c>
      <c r="G916" s="190" t="s">
        <v>14</v>
      </c>
      <c r="H916" s="191">
        <v>0</v>
      </c>
      <c r="I916" s="192">
        <f t="shared" si="382"/>
        <v>0</v>
      </c>
      <c r="J916" s="193">
        <v>0</v>
      </c>
      <c r="K916" s="194">
        <f t="shared" si="383"/>
        <v>0</v>
      </c>
      <c r="L916" s="195">
        <v>55</v>
      </c>
      <c r="M916" s="196">
        <f t="shared" si="384"/>
        <v>0</v>
      </c>
      <c r="N916" s="197">
        <f t="shared" si="385"/>
        <v>0</v>
      </c>
      <c r="O916" s="198"/>
      <c r="P916" s="18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</row>
    <row r="917" spans="1:77" s="41" customFormat="1" ht="15.75">
      <c r="A917" s="64">
        <f>IF(F917&lt;&gt;"",1+MAX($A$2:A916),"")</f>
        <v>801</v>
      </c>
      <c r="B917" s="313"/>
      <c r="C917" s="226" t="s">
        <v>789</v>
      </c>
      <c r="D917" s="188">
        <v>1</v>
      </c>
      <c r="E917" s="189">
        <v>0</v>
      </c>
      <c r="F917" s="188">
        <f t="shared" si="381"/>
        <v>1</v>
      </c>
      <c r="G917" s="190" t="s">
        <v>14</v>
      </c>
      <c r="H917" s="191">
        <v>0</v>
      </c>
      <c r="I917" s="192">
        <f t="shared" si="382"/>
        <v>0</v>
      </c>
      <c r="J917" s="193">
        <v>0</v>
      </c>
      <c r="K917" s="194">
        <f t="shared" si="383"/>
        <v>0</v>
      </c>
      <c r="L917" s="195">
        <v>55</v>
      </c>
      <c r="M917" s="196">
        <f t="shared" si="384"/>
        <v>0</v>
      </c>
      <c r="N917" s="197">
        <f t="shared" si="385"/>
        <v>0</v>
      </c>
      <c r="O917" s="198"/>
      <c r="P917" s="18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</row>
    <row r="918" spans="1:77" s="41" customFormat="1" ht="15.75">
      <c r="A918" s="64">
        <f>IF(F918&lt;&gt;"",1+MAX($A$2:A917),"")</f>
        <v>802</v>
      </c>
      <c r="B918" s="313"/>
      <c r="C918" s="226" t="s">
        <v>790</v>
      </c>
      <c r="D918" s="188">
        <v>1</v>
      </c>
      <c r="E918" s="189">
        <v>0</v>
      </c>
      <c r="F918" s="188">
        <f t="shared" si="381"/>
        <v>1</v>
      </c>
      <c r="G918" s="190" t="s">
        <v>14</v>
      </c>
      <c r="H918" s="191">
        <v>0</v>
      </c>
      <c r="I918" s="192">
        <f t="shared" si="382"/>
        <v>0</v>
      </c>
      <c r="J918" s="193">
        <v>0</v>
      </c>
      <c r="K918" s="194">
        <f t="shared" si="383"/>
        <v>0</v>
      </c>
      <c r="L918" s="195">
        <v>55</v>
      </c>
      <c r="M918" s="196">
        <f t="shared" si="384"/>
        <v>0</v>
      </c>
      <c r="N918" s="197">
        <f t="shared" si="385"/>
        <v>0</v>
      </c>
      <c r="O918" s="198"/>
      <c r="P918" s="18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</row>
    <row r="919" spans="1:77" s="41" customFormat="1" ht="15.75">
      <c r="A919" s="64">
        <f>IF(F919&lt;&gt;"",1+MAX($A$2:A918),"")</f>
        <v>803</v>
      </c>
      <c r="B919" s="313"/>
      <c r="C919" s="226" t="s">
        <v>791</v>
      </c>
      <c r="D919" s="188">
        <v>1</v>
      </c>
      <c r="E919" s="189">
        <v>0</v>
      </c>
      <c r="F919" s="188">
        <f t="shared" si="381"/>
        <v>1</v>
      </c>
      <c r="G919" s="190" t="s">
        <v>14</v>
      </c>
      <c r="H919" s="191">
        <v>0</v>
      </c>
      <c r="I919" s="192">
        <f t="shared" si="382"/>
        <v>0</v>
      </c>
      <c r="J919" s="193">
        <v>0</v>
      </c>
      <c r="K919" s="194">
        <f t="shared" si="383"/>
        <v>0</v>
      </c>
      <c r="L919" s="195">
        <v>55</v>
      </c>
      <c r="M919" s="196">
        <f t="shared" si="384"/>
        <v>0</v>
      </c>
      <c r="N919" s="197">
        <f t="shared" si="385"/>
        <v>0</v>
      </c>
      <c r="O919" s="198"/>
      <c r="P919" s="18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</row>
    <row r="920" spans="1:77" s="41" customFormat="1" ht="15.75">
      <c r="A920" s="64">
        <f>IF(F920&lt;&gt;"",1+MAX($A$2:A919),"")</f>
        <v>804</v>
      </c>
      <c r="B920" s="313"/>
      <c r="C920" s="226" t="s">
        <v>792</v>
      </c>
      <c r="D920" s="188">
        <v>1</v>
      </c>
      <c r="E920" s="189">
        <v>0</v>
      </c>
      <c r="F920" s="188">
        <f t="shared" si="381"/>
        <v>1</v>
      </c>
      <c r="G920" s="190" t="s">
        <v>14</v>
      </c>
      <c r="H920" s="191">
        <v>0</v>
      </c>
      <c r="I920" s="192">
        <f t="shared" si="382"/>
        <v>0</v>
      </c>
      <c r="J920" s="193">
        <v>0</v>
      </c>
      <c r="K920" s="194">
        <f t="shared" si="383"/>
        <v>0</v>
      </c>
      <c r="L920" s="195">
        <v>55</v>
      </c>
      <c r="M920" s="196">
        <f t="shared" si="384"/>
        <v>0</v>
      </c>
      <c r="N920" s="197">
        <f t="shared" si="385"/>
        <v>0</v>
      </c>
      <c r="O920" s="198"/>
      <c r="P920" s="18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</row>
    <row r="921" spans="1:77" s="41" customFormat="1" ht="15.75">
      <c r="A921" s="64">
        <f>IF(F921&lt;&gt;"",1+MAX($A$2:A920),"")</f>
        <v>805</v>
      </c>
      <c r="B921" s="313"/>
      <c r="C921" s="226" t="s">
        <v>793</v>
      </c>
      <c r="D921" s="188">
        <v>1</v>
      </c>
      <c r="E921" s="189">
        <v>0</v>
      </c>
      <c r="F921" s="188">
        <f t="shared" si="381"/>
        <v>1</v>
      </c>
      <c r="G921" s="190" t="s">
        <v>14</v>
      </c>
      <c r="H921" s="191">
        <v>0</v>
      </c>
      <c r="I921" s="192">
        <f t="shared" si="382"/>
        <v>0</v>
      </c>
      <c r="J921" s="193">
        <v>0</v>
      </c>
      <c r="K921" s="194">
        <f t="shared" si="383"/>
        <v>0</v>
      </c>
      <c r="L921" s="195">
        <v>55</v>
      </c>
      <c r="M921" s="196">
        <f t="shared" si="384"/>
        <v>0</v>
      </c>
      <c r="N921" s="197">
        <f t="shared" si="385"/>
        <v>0</v>
      </c>
      <c r="O921" s="198"/>
      <c r="P921" s="18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</row>
    <row r="922" spans="1:77" s="41" customFormat="1" ht="15.75">
      <c r="A922" s="64">
        <f>IF(F922&lt;&gt;"",1+MAX($A$2:A921),"")</f>
        <v>806</v>
      </c>
      <c r="B922" s="313"/>
      <c r="C922" s="226" t="s">
        <v>794</v>
      </c>
      <c r="D922" s="188">
        <v>1</v>
      </c>
      <c r="E922" s="189">
        <v>0</v>
      </c>
      <c r="F922" s="188">
        <f t="shared" si="381"/>
        <v>1</v>
      </c>
      <c r="G922" s="190" t="s">
        <v>14</v>
      </c>
      <c r="H922" s="191">
        <v>0</v>
      </c>
      <c r="I922" s="192">
        <f t="shared" si="382"/>
        <v>0</v>
      </c>
      <c r="J922" s="193">
        <v>0</v>
      </c>
      <c r="K922" s="194">
        <f t="shared" si="383"/>
        <v>0</v>
      </c>
      <c r="L922" s="195">
        <v>55</v>
      </c>
      <c r="M922" s="196">
        <f t="shared" si="384"/>
        <v>0</v>
      </c>
      <c r="N922" s="197">
        <f t="shared" si="385"/>
        <v>0</v>
      </c>
      <c r="O922" s="198"/>
      <c r="P922" s="18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</row>
    <row r="923" spans="1:77" s="41" customFormat="1" ht="15.75">
      <c r="A923" s="64">
        <f>IF(F923&lt;&gt;"",1+MAX($A$2:A922),"")</f>
        <v>807</v>
      </c>
      <c r="B923" s="313"/>
      <c r="C923" s="226" t="s">
        <v>795</v>
      </c>
      <c r="D923" s="188">
        <v>1</v>
      </c>
      <c r="E923" s="189">
        <v>0</v>
      </c>
      <c r="F923" s="188">
        <f t="shared" si="381"/>
        <v>1</v>
      </c>
      <c r="G923" s="190" t="s">
        <v>14</v>
      </c>
      <c r="H923" s="191">
        <v>0</v>
      </c>
      <c r="I923" s="192">
        <f t="shared" si="382"/>
        <v>0</v>
      </c>
      <c r="J923" s="193">
        <v>0</v>
      </c>
      <c r="K923" s="194">
        <f t="shared" si="383"/>
        <v>0</v>
      </c>
      <c r="L923" s="195">
        <v>55</v>
      </c>
      <c r="M923" s="196">
        <f t="shared" si="384"/>
        <v>0</v>
      </c>
      <c r="N923" s="197">
        <f t="shared" si="385"/>
        <v>0</v>
      </c>
      <c r="O923" s="198"/>
      <c r="P923" s="18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</row>
    <row r="924" spans="1:77" s="41" customFormat="1" ht="15.75">
      <c r="A924" s="64">
        <f>IF(F924&lt;&gt;"",1+MAX($A$2:A923),"")</f>
        <v>808</v>
      </c>
      <c r="B924" s="313"/>
      <c r="C924" s="226" t="s">
        <v>796</v>
      </c>
      <c r="D924" s="188">
        <v>1</v>
      </c>
      <c r="E924" s="189">
        <v>0</v>
      </c>
      <c r="F924" s="188">
        <f t="shared" si="381"/>
        <v>1</v>
      </c>
      <c r="G924" s="190" t="s">
        <v>14</v>
      </c>
      <c r="H924" s="191">
        <v>0</v>
      </c>
      <c r="I924" s="192">
        <f t="shared" si="382"/>
        <v>0</v>
      </c>
      <c r="J924" s="193">
        <v>0</v>
      </c>
      <c r="K924" s="194">
        <f t="shared" si="383"/>
        <v>0</v>
      </c>
      <c r="L924" s="195">
        <v>55</v>
      </c>
      <c r="M924" s="196">
        <f t="shared" si="384"/>
        <v>0</v>
      </c>
      <c r="N924" s="197">
        <f t="shared" si="385"/>
        <v>0</v>
      </c>
      <c r="O924" s="198"/>
      <c r="P924" s="18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</row>
    <row r="925" spans="1:77" s="41" customFormat="1" ht="15.75">
      <c r="A925" s="64">
        <f>IF(F925&lt;&gt;"",1+MAX($A$2:A924),"")</f>
        <v>809</v>
      </c>
      <c r="B925" s="313"/>
      <c r="C925" s="226" t="s">
        <v>797</v>
      </c>
      <c r="D925" s="188">
        <v>1</v>
      </c>
      <c r="E925" s="189">
        <v>0</v>
      </c>
      <c r="F925" s="188">
        <f t="shared" si="381"/>
        <v>1</v>
      </c>
      <c r="G925" s="190" t="s">
        <v>14</v>
      </c>
      <c r="H925" s="191">
        <v>0</v>
      </c>
      <c r="I925" s="192">
        <f t="shared" si="382"/>
        <v>0</v>
      </c>
      <c r="J925" s="193">
        <v>0</v>
      </c>
      <c r="K925" s="194">
        <f t="shared" si="383"/>
        <v>0</v>
      </c>
      <c r="L925" s="195">
        <v>55</v>
      </c>
      <c r="M925" s="196">
        <f t="shared" si="384"/>
        <v>0</v>
      </c>
      <c r="N925" s="197">
        <f t="shared" si="385"/>
        <v>0</v>
      </c>
      <c r="O925" s="198"/>
      <c r="P925" s="18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</row>
    <row r="926" spans="1:77" s="41" customFormat="1" ht="15.75">
      <c r="A926" s="64">
        <f>IF(F926&lt;&gt;"",1+MAX($A$2:A925),"")</f>
        <v>810</v>
      </c>
      <c r="B926" s="313"/>
      <c r="C926" s="226" t="s">
        <v>798</v>
      </c>
      <c r="D926" s="188">
        <v>1</v>
      </c>
      <c r="E926" s="189">
        <v>0</v>
      </c>
      <c r="F926" s="188">
        <f t="shared" si="381"/>
        <v>1</v>
      </c>
      <c r="G926" s="190" t="s">
        <v>14</v>
      </c>
      <c r="H926" s="191">
        <v>0</v>
      </c>
      <c r="I926" s="192">
        <f t="shared" si="382"/>
        <v>0</v>
      </c>
      <c r="J926" s="193">
        <v>0</v>
      </c>
      <c r="K926" s="194">
        <f t="shared" si="383"/>
        <v>0</v>
      </c>
      <c r="L926" s="195">
        <v>55</v>
      </c>
      <c r="M926" s="196">
        <f t="shared" si="384"/>
        <v>0</v>
      </c>
      <c r="N926" s="197">
        <f t="shared" si="385"/>
        <v>0</v>
      </c>
      <c r="O926" s="198"/>
      <c r="P926" s="18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</row>
    <row r="927" spans="1:77" s="41" customFormat="1" ht="15.75">
      <c r="A927" s="64">
        <f>IF(F927&lt;&gt;"",1+MAX($A$2:A926),"")</f>
        <v>811</v>
      </c>
      <c r="B927" s="313"/>
      <c r="C927" s="226" t="s">
        <v>799</v>
      </c>
      <c r="D927" s="188">
        <v>1</v>
      </c>
      <c r="E927" s="189">
        <v>0</v>
      </c>
      <c r="F927" s="188">
        <f t="shared" si="381"/>
        <v>1</v>
      </c>
      <c r="G927" s="190" t="s">
        <v>14</v>
      </c>
      <c r="H927" s="191">
        <v>0</v>
      </c>
      <c r="I927" s="192">
        <f t="shared" si="382"/>
        <v>0</v>
      </c>
      <c r="J927" s="193">
        <v>0</v>
      </c>
      <c r="K927" s="194">
        <f t="shared" si="383"/>
        <v>0</v>
      </c>
      <c r="L927" s="195">
        <v>55</v>
      </c>
      <c r="M927" s="196">
        <f t="shared" si="384"/>
        <v>0</v>
      </c>
      <c r="N927" s="197">
        <f t="shared" si="385"/>
        <v>0</v>
      </c>
      <c r="O927" s="198"/>
      <c r="P927" s="18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</row>
    <row r="928" spans="1:77" s="41" customFormat="1" ht="15.75">
      <c r="A928" s="64">
        <f>IF(F928&lt;&gt;"",1+MAX($A$2:A927),"")</f>
        <v>812</v>
      </c>
      <c r="B928" s="313"/>
      <c r="C928" s="226" t="s">
        <v>800</v>
      </c>
      <c r="D928" s="188">
        <v>1</v>
      </c>
      <c r="E928" s="189">
        <v>0</v>
      </c>
      <c r="F928" s="188">
        <f t="shared" si="381"/>
        <v>1</v>
      </c>
      <c r="G928" s="190" t="s">
        <v>14</v>
      </c>
      <c r="H928" s="191">
        <v>0</v>
      </c>
      <c r="I928" s="192">
        <f t="shared" si="382"/>
        <v>0</v>
      </c>
      <c r="J928" s="193">
        <v>0</v>
      </c>
      <c r="K928" s="194">
        <f t="shared" si="383"/>
        <v>0</v>
      </c>
      <c r="L928" s="195">
        <v>55</v>
      </c>
      <c r="M928" s="196">
        <f t="shared" si="384"/>
        <v>0</v>
      </c>
      <c r="N928" s="197">
        <f t="shared" si="385"/>
        <v>0</v>
      </c>
      <c r="O928" s="198"/>
      <c r="P928" s="18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</row>
    <row r="929" spans="1:77" s="41" customFormat="1" ht="15.75">
      <c r="A929" s="64">
        <f>IF(F929&lt;&gt;"",1+MAX($A$2:A928),"")</f>
        <v>813</v>
      </c>
      <c r="B929" s="313"/>
      <c r="C929" s="226" t="s">
        <v>801</v>
      </c>
      <c r="D929" s="188">
        <v>1</v>
      </c>
      <c r="E929" s="189">
        <v>0</v>
      </c>
      <c r="F929" s="188">
        <f t="shared" si="381"/>
        <v>1</v>
      </c>
      <c r="G929" s="190" t="s">
        <v>14</v>
      </c>
      <c r="H929" s="191">
        <v>0</v>
      </c>
      <c r="I929" s="192">
        <f t="shared" si="382"/>
        <v>0</v>
      </c>
      <c r="J929" s="193">
        <v>0</v>
      </c>
      <c r="K929" s="194">
        <f t="shared" si="383"/>
        <v>0</v>
      </c>
      <c r="L929" s="195">
        <v>55</v>
      </c>
      <c r="M929" s="196">
        <f t="shared" si="384"/>
        <v>0</v>
      </c>
      <c r="N929" s="197">
        <f t="shared" si="385"/>
        <v>0</v>
      </c>
      <c r="O929" s="198"/>
      <c r="P929" s="18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</row>
    <row r="930" spans="1:77" s="41" customFormat="1" ht="15.75">
      <c r="A930" s="64">
        <f>IF(F930&lt;&gt;"",1+MAX($A$2:A929),"")</f>
        <v>814</v>
      </c>
      <c r="B930" s="313"/>
      <c r="C930" s="226" t="s">
        <v>802</v>
      </c>
      <c r="D930" s="188">
        <v>1</v>
      </c>
      <c r="E930" s="189">
        <v>0</v>
      </c>
      <c r="F930" s="188">
        <f t="shared" si="381"/>
        <v>1</v>
      </c>
      <c r="G930" s="190" t="s">
        <v>14</v>
      </c>
      <c r="H930" s="191">
        <v>0</v>
      </c>
      <c r="I930" s="192">
        <f t="shared" si="382"/>
        <v>0</v>
      </c>
      <c r="J930" s="193">
        <v>0</v>
      </c>
      <c r="K930" s="194">
        <f t="shared" si="383"/>
        <v>0</v>
      </c>
      <c r="L930" s="195">
        <v>55</v>
      </c>
      <c r="M930" s="196">
        <f t="shared" si="384"/>
        <v>0</v>
      </c>
      <c r="N930" s="197">
        <f t="shared" si="385"/>
        <v>0</v>
      </c>
      <c r="O930" s="198"/>
      <c r="P930" s="18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</row>
    <row r="931" spans="1:77" s="41" customFormat="1" ht="15.75">
      <c r="A931" s="64">
        <f>IF(F931&lt;&gt;"",1+MAX($A$2:A930),"")</f>
        <v>815</v>
      </c>
      <c r="B931" s="313"/>
      <c r="C931" s="226" t="s">
        <v>803</v>
      </c>
      <c r="D931" s="188">
        <v>1</v>
      </c>
      <c r="E931" s="189">
        <v>0</v>
      </c>
      <c r="F931" s="188">
        <f t="shared" si="381"/>
        <v>1</v>
      </c>
      <c r="G931" s="190" t="s">
        <v>14</v>
      </c>
      <c r="H931" s="191">
        <v>0</v>
      </c>
      <c r="I931" s="192">
        <f t="shared" si="382"/>
        <v>0</v>
      </c>
      <c r="J931" s="193">
        <v>0</v>
      </c>
      <c r="K931" s="194">
        <f t="shared" si="383"/>
        <v>0</v>
      </c>
      <c r="L931" s="195">
        <v>55</v>
      </c>
      <c r="M931" s="196">
        <f t="shared" si="384"/>
        <v>0</v>
      </c>
      <c r="N931" s="197">
        <f t="shared" si="385"/>
        <v>0</v>
      </c>
      <c r="O931" s="198"/>
      <c r="P931" s="18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</row>
    <row r="932" spans="1:77" s="41" customFormat="1" ht="15.75">
      <c r="A932" s="64" t="str">
        <f>IF(F932&lt;&gt;"",1+MAX($A$2:A931),"")</f>
        <v/>
      </c>
      <c r="B932" s="313"/>
      <c r="C932" s="270" t="s">
        <v>804</v>
      </c>
      <c r="D932" s="188"/>
      <c r="E932" s="189"/>
      <c r="F932" s="188"/>
      <c r="G932" s="190"/>
      <c r="H932" s="191"/>
      <c r="I932" s="192"/>
      <c r="J932" s="193"/>
      <c r="K932" s="194"/>
      <c r="L932" s="195"/>
      <c r="M932" s="196"/>
      <c r="N932" s="197"/>
      <c r="O932" s="198"/>
      <c r="P932" s="18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</row>
    <row r="933" spans="1:77" s="41" customFormat="1" ht="15.75">
      <c r="A933" s="64">
        <f>IF(F933&lt;&gt;"",1+MAX($A$2:A932),"")</f>
        <v>816</v>
      </c>
      <c r="B933" s="313"/>
      <c r="C933" s="226" t="s">
        <v>805</v>
      </c>
      <c r="D933" s="188">
        <v>24</v>
      </c>
      <c r="E933" s="189">
        <v>0</v>
      </c>
      <c r="F933" s="188">
        <f>(1+E933)*D933</f>
        <v>24</v>
      </c>
      <c r="G933" s="190" t="s">
        <v>14</v>
      </c>
      <c r="H933" s="191">
        <v>0</v>
      </c>
      <c r="I933" s="192">
        <f t="shared" ref="I933:I948" si="386">H933*F933</f>
        <v>0</v>
      </c>
      <c r="J933" s="193">
        <v>0</v>
      </c>
      <c r="K933" s="194">
        <f t="shared" ref="K933:K948" si="387">J933*F933</f>
        <v>0</v>
      </c>
      <c r="L933" s="195">
        <v>55</v>
      </c>
      <c r="M933" s="196">
        <f t="shared" ref="M933:M948" si="388">L933*K933</f>
        <v>0</v>
      </c>
      <c r="N933" s="197">
        <f t="shared" ref="N933:N948" si="389">M933+I933</f>
        <v>0</v>
      </c>
      <c r="O933" s="198"/>
      <c r="P933" s="18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</row>
    <row r="934" spans="1:77" s="41" customFormat="1" ht="15.75">
      <c r="A934" s="64">
        <f>IF(F934&lt;&gt;"",1+MAX($A$2:A933),"")</f>
        <v>817</v>
      </c>
      <c r="B934" s="313"/>
      <c r="C934" s="226" t="s">
        <v>806</v>
      </c>
      <c r="D934" s="188">
        <v>1</v>
      </c>
      <c r="E934" s="189">
        <v>0</v>
      </c>
      <c r="F934" s="188">
        <f>(1+E934)*D934</f>
        <v>1</v>
      </c>
      <c r="G934" s="190" t="s">
        <v>14</v>
      </c>
      <c r="H934" s="191">
        <v>0</v>
      </c>
      <c r="I934" s="192">
        <f t="shared" si="386"/>
        <v>0</v>
      </c>
      <c r="J934" s="193">
        <v>0</v>
      </c>
      <c r="K934" s="194">
        <f t="shared" si="387"/>
        <v>0</v>
      </c>
      <c r="L934" s="195">
        <v>55</v>
      </c>
      <c r="M934" s="196">
        <f t="shared" si="388"/>
        <v>0</v>
      </c>
      <c r="N934" s="197">
        <f t="shared" si="389"/>
        <v>0</v>
      </c>
      <c r="O934" s="198"/>
      <c r="P934" s="18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</row>
    <row r="935" spans="1:77" s="41" customFormat="1" ht="15.75">
      <c r="A935" s="64">
        <f>IF(F935&lt;&gt;"",1+MAX($A$2:A934),"")</f>
        <v>818</v>
      </c>
      <c r="B935" s="313"/>
      <c r="C935" s="226" t="s">
        <v>807</v>
      </c>
      <c r="D935" s="188">
        <v>48</v>
      </c>
      <c r="E935" s="189">
        <v>0</v>
      </c>
      <c r="F935" s="188">
        <f t="shared" ref="F935" si="390">(1+E935)*D935</f>
        <v>48</v>
      </c>
      <c r="G935" s="190" t="s">
        <v>14</v>
      </c>
      <c r="H935" s="191">
        <v>0</v>
      </c>
      <c r="I935" s="192">
        <f t="shared" si="386"/>
        <v>0</v>
      </c>
      <c r="J935" s="193">
        <v>0</v>
      </c>
      <c r="K935" s="194">
        <f t="shared" si="387"/>
        <v>0</v>
      </c>
      <c r="L935" s="195">
        <v>55</v>
      </c>
      <c r="M935" s="196">
        <f t="shared" si="388"/>
        <v>0</v>
      </c>
      <c r="N935" s="197">
        <f t="shared" si="389"/>
        <v>0</v>
      </c>
      <c r="O935" s="198"/>
      <c r="P935" s="18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</row>
    <row r="936" spans="1:77" s="41" customFormat="1" ht="15.75">
      <c r="A936" s="64">
        <f>IF(F936&lt;&gt;"",1+MAX($A$2:A935),"")</f>
        <v>819</v>
      </c>
      <c r="B936" s="313"/>
      <c r="C936" s="226" t="s">
        <v>808</v>
      </c>
      <c r="D936" s="188">
        <v>4</v>
      </c>
      <c r="E936" s="189">
        <v>0</v>
      </c>
      <c r="F936" s="188">
        <f>(1+E936)*D936</f>
        <v>4</v>
      </c>
      <c r="G936" s="190" t="s">
        <v>14</v>
      </c>
      <c r="H936" s="191">
        <v>0</v>
      </c>
      <c r="I936" s="192">
        <f t="shared" si="386"/>
        <v>0</v>
      </c>
      <c r="J936" s="193">
        <v>0</v>
      </c>
      <c r="K936" s="194">
        <f t="shared" si="387"/>
        <v>0</v>
      </c>
      <c r="L936" s="195">
        <v>55</v>
      </c>
      <c r="M936" s="196">
        <f t="shared" si="388"/>
        <v>0</v>
      </c>
      <c r="N936" s="197">
        <f t="shared" si="389"/>
        <v>0</v>
      </c>
      <c r="O936" s="198"/>
      <c r="P936" s="18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</row>
    <row r="937" spans="1:77" s="41" customFormat="1" ht="15.75">
      <c r="A937" s="64">
        <f>IF(F937&lt;&gt;"",1+MAX($A$2:A936),"")</f>
        <v>820</v>
      </c>
      <c r="B937" s="313"/>
      <c r="C937" s="226" t="s">
        <v>809</v>
      </c>
      <c r="D937" s="188">
        <v>1168</v>
      </c>
      <c r="E937" s="189">
        <v>0</v>
      </c>
      <c r="F937" s="188">
        <f>(1+E937)*D937</f>
        <v>1168</v>
      </c>
      <c r="G937" s="190" t="s">
        <v>14</v>
      </c>
      <c r="H937" s="191">
        <v>0</v>
      </c>
      <c r="I937" s="192">
        <f t="shared" si="386"/>
        <v>0</v>
      </c>
      <c r="J937" s="193">
        <v>0</v>
      </c>
      <c r="K937" s="194">
        <f t="shared" si="387"/>
        <v>0</v>
      </c>
      <c r="L937" s="195">
        <v>55</v>
      </c>
      <c r="M937" s="196">
        <f t="shared" si="388"/>
        <v>0</v>
      </c>
      <c r="N937" s="197">
        <f t="shared" si="389"/>
        <v>0</v>
      </c>
      <c r="O937" s="198"/>
      <c r="P937" s="18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</row>
    <row r="938" spans="1:77" s="41" customFormat="1" ht="15.75">
      <c r="A938" s="64">
        <f>IF(F938&lt;&gt;"",1+MAX($A$2:A937),"")</f>
        <v>821</v>
      </c>
      <c r="B938" s="313"/>
      <c r="C938" s="226" t="s">
        <v>810</v>
      </c>
      <c r="D938" s="188">
        <v>18</v>
      </c>
      <c r="E938" s="189">
        <v>0</v>
      </c>
      <c r="F938" s="188">
        <f>(1+E938)*D938</f>
        <v>18</v>
      </c>
      <c r="G938" s="190" t="s">
        <v>14</v>
      </c>
      <c r="H938" s="191">
        <v>0</v>
      </c>
      <c r="I938" s="192">
        <f t="shared" si="386"/>
        <v>0</v>
      </c>
      <c r="J938" s="193">
        <v>0</v>
      </c>
      <c r="K938" s="194">
        <f t="shared" si="387"/>
        <v>0</v>
      </c>
      <c r="L938" s="195">
        <v>55</v>
      </c>
      <c r="M938" s="196">
        <f t="shared" si="388"/>
        <v>0</v>
      </c>
      <c r="N938" s="197">
        <f t="shared" si="389"/>
        <v>0</v>
      </c>
      <c r="O938" s="198"/>
      <c r="P938" s="18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</row>
    <row r="939" spans="1:77" s="41" customFormat="1" ht="15.75">
      <c r="A939" s="64">
        <f>IF(F939&lt;&gt;"",1+MAX($A$2:A938),"")</f>
        <v>822</v>
      </c>
      <c r="B939" s="313"/>
      <c r="C939" s="226" t="s">
        <v>811</v>
      </c>
      <c r="D939" s="188">
        <v>3</v>
      </c>
      <c r="E939" s="189">
        <v>0</v>
      </c>
      <c r="F939" s="188">
        <f t="shared" ref="F939" si="391">(1+E939)*D939</f>
        <v>3</v>
      </c>
      <c r="G939" s="190" t="s">
        <v>14</v>
      </c>
      <c r="H939" s="191">
        <v>0</v>
      </c>
      <c r="I939" s="192">
        <f t="shared" si="386"/>
        <v>0</v>
      </c>
      <c r="J939" s="193">
        <v>0</v>
      </c>
      <c r="K939" s="194">
        <f t="shared" si="387"/>
        <v>0</v>
      </c>
      <c r="L939" s="195">
        <v>55</v>
      </c>
      <c r="M939" s="196">
        <f t="shared" si="388"/>
        <v>0</v>
      </c>
      <c r="N939" s="197">
        <f t="shared" si="389"/>
        <v>0</v>
      </c>
      <c r="O939" s="198"/>
      <c r="P939" s="18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</row>
    <row r="940" spans="1:77" s="41" customFormat="1" ht="15.75">
      <c r="A940" s="64">
        <f>IF(F940&lt;&gt;"",1+MAX($A$2:A939),"")</f>
        <v>823</v>
      </c>
      <c r="B940" s="313"/>
      <c r="C940" s="226" t="s">
        <v>812</v>
      </c>
      <c r="D940" s="188">
        <v>4</v>
      </c>
      <c r="E940" s="189">
        <v>0</v>
      </c>
      <c r="F940" s="188">
        <f>(1+E940)*D940</f>
        <v>4</v>
      </c>
      <c r="G940" s="190" t="s">
        <v>14</v>
      </c>
      <c r="H940" s="191">
        <v>0</v>
      </c>
      <c r="I940" s="192">
        <f t="shared" si="386"/>
        <v>0</v>
      </c>
      <c r="J940" s="193">
        <v>0</v>
      </c>
      <c r="K940" s="194">
        <f t="shared" si="387"/>
        <v>0</v>
      </c>
      <c r="L940" s="195">
        <v>55</v>
      </c>
      <c r="M940" s="196">
        <f t="shared" si="388"/>
        <v>0</v>
      </c>
      <c r="N940" s="197">
        <f t="shared" si="389"/>
        <v>0</v>
      </c>
      <c r="O940" s="198"/>
      <c r="P940" s="18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</row>
    <row r="941" spans="1:77" s="41" customFormat="1" ht="15.75">
      <c r="A941" s="64">
        <f>IF(F941&lt;&gt;"",1+MAX($A$2:A940),"")</f>
        <v>824</v>
      </c>
      <c r="B941" s="313"/>
      <c r="C941" s="226" t="s">
        <v>813</v>
      </c>
      <c r="D941" s="188">
        <v>69</v>
      </c>
      <c r="E941" s="189">
        <v>0</v>
      </c>
      <c r="F941" s="188">
        <f t="shared" ref="F941" si="392">(1+E941)*D941</f>
        <v>69</v>
      </c>
      <c r="G941" s="190" t="s">
        <v>14</v>
      </c>
      <c r="H941" s="191">
        <v>0</v>
      </c>
      <c r="I941" s="192">
        <f t="shared" si="386"/>
        <v>0</v>
      </c>
      <c r="J941" s="193">
        <v>0</v>
      </c>
      <c r="K941" s="194">
        <f t="shared" si="387"/>
        <v>0</v>
      </c>
      <c r="L941" s="195">
        <v>55</v>
      </c>
      <c r="M941" s="196">
        <f t="shared" si="388"/>
        <v>0</v>
      </c>
      <c r="N941" s="197">
        <f t="shared" si="389"/>
        <v>0</v>
      </c>
      <c r="O941" s="198"/>
      <c r="P941" s="18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</row>
    <row r="942" spans="1:77" s="41" customFormat="1" ht="15.75">
      <c r="A942" s="64">
        <f>IF(F942&lt;&gt;"",1+MAX($A$2:A941),"")</f>
        <v>825</v>
      </c>
      <c r="B942" s="313"/>
      <c r="C942" s="226" t="s">
        <v>814</v>
      </c>
      <c r="D942" s="188">
        <v>2</v>
      </c>
      <c r="E942" s="189">
        <v>0</v>
      </c>
      <c r="F942" s="188">
        <f>(1+E942)*D942</f>
        <v>2</v>
      </c>
      <c r="G942" s="190" t="s">
        <v>14</v>
      </c>
      <c r="H942" s="191">
        <v>0</v>
      </c>
      <c r="I942" s="192">
        <f t="shared" si="386"/>
        <v>0</v>
      </c>
      <c r="J942" s="193">
        <v>0</v>
      </c>
      <c r="K942" s="194">
        <f t="shared" si="387"/>
        <v>0</v>
      </c>
      <c r="L942" s="195">
        <v>55</v>
      </c>
      <c r="M942" s="196">
        <f t="shared" si="388"/>
        <v>0</v>
      </c>
      <c r="N942" s="197">
        <f t="shared" si="389"/>
        <v>0</v>
      </c>
      <c r="O942" s="198"/>
      <c r="P942" s="18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</row>
    <row r="943" spans="1:77" s="41" customFormat="1" ht="15.75">
      <c r="A943" s="64">
        <f>IF(F943&lt;&gt;"",1+MAX($A$2:A942),"")</f>
        <v>826</v>
      </c>
      <c r="B943" s="313"/>
      <c r="C943" s="226" t="s">
        <v>815</v>
      </c>
      <c r="D943" s="188">
        <v>1</v>
      </c>
      <c r="E943" s="189">
        <v>0</v>
      </c>
      <c r="F943" s="188">
        <f t="shared" ref="F943:F944" si="393">(1+E943)*D943</f>
        <v>1</v>
      </c>
      <c r="G943" s="190" t="s">
        <v>14</v>
      </c>
      <c r="H943" s="191">
        <v>0</v>
      </c>
      <c r="I943" s="192">
        <f t="shared" si="386"/>
        <v>0</v>
      </c>
      <c r="J943" s="193">
        <v>0</v>
      </c>
      <c r="K943" s="194">
        <f t="shared" si="387"/>
        <v>0</v>
      </c>
      <c r="L943" s="195">
        <v>55</v>
      </c>
      <c r="M943" s="196">
        <f t="shared" si="388"/>
        <v>0</v>
      </c>
      <c r="N943" s="197">
        <f t="shared" si="389"/>
        <v>0</v>
      </c>
      <c r="O943" s="198"/>
      <c r="P943" s="18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</row>
    <row r="944" spans="1:77" s="41" customFormat="1" ht="15.75">
      <c r="A944" s="64">
        <f>IF(F944&lt;&gt;"",1+MAX($A$2:A943),"")</f>
        <v>827</v>
      </c>
      <c r="B944" s="313"/>
      <c r="C944" s="226" t="s">
        <v>816</v>
      </c>
      <c r="D944" s="188">
        <v>5</v>
      </c>
      <c r="E944" s="189">
        <v>0</v>
      </c>
      <c r="F944" s="188">
        <f t="shared" si="393"/>
        <v>5</v>
      </c>
      <c r="G944" s="190" t="s">
        <v>14</v>
      </c>
      <c r="H944" s="191">
        <v>0</v>
      </c>
      <c r="I944" s="192">
        <f t="shared" si="386"/>
        <v>0</v>
      </c>
      <c r="J944" s="193">
        <v>0</v>
      </c>
      <c r="K944" s="194">
        <f t="shared" si="387"/>
        <v>0</v>
      </c>
      <c r="L944" s="195">
        <v>55</v>
      </c>
      <c r="M944" s="196">
        <f t="shared" si="388"/>
        <v>0</v>
      </c>
      <c r="N944" s="197">
        <f t="shared" si="389"/>
        <v>0</v>
      </c>
      <c r="O944" s="198"/>
      <c r="P944" s="18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</row>
    <row r="945" spans="1:77" s="41" customFormat="1" ht="15.75">
      <c r="A945" s="64">
        <f>IF(F945&lt;&gt;"",1+MAX($A$2:A944),"")</f>
        <v>828</v>
      </c>
      <c r="B945" s="313"/>
      <c r="C945" s="226" t="s">
        <v>817</v>
      </c>
      <c r="D945" s="188">
        <v>3</v>
      </c>
      <c r="E945" s="189">
        <v>0</v>
      </c>
      <c r="F945" s="188">
        <f>(1+E945)*D945</f>
        <v>3</v>
      </c>
      <c r="G945" s="190" t="s">
        <v>14</v>
      </c>
      <c r="H945" s="191">
        <v>0</v>
      </c>
      <c r="I945" s="192">
        <f t="shared" si="386"/>
        <v>0</v>
      </c>
      <c r="J945" s="193">
        <v>0</v>
      </c>
      <c r="K945" s="194">
        <f t="shared" si="387"/>
        <v>0</v>
      </c>
      <c r="L945" s="195">
        <v>55</v>
      </c>
      <c r="M945" s="196">
        <f t="shared" si="388"/>
        <v>0</v>
      </c>
      <c r="N945" s="197">
        <f t="shared" si="389"/>
        <v>0</v>
      </c>
      <c r="O945" s="198"/>
      <c r="P945" s="18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</row>
    <row r="946" spans="1:77" s="41" customFormat="1" ht="15.75">
      <c r="A946" s="64">
        <f>IF(F946&lt;&gt;"",1+MAX($A$2:A945),"")</f>
        <v>829</v>
      </c>
      <c r="B946" s="313"/>
      <c r="C946" s="226" t="s">
        <v>818</v>
      </c>
      <c r="D946" s="188">
        <v>1</v>
      </c>
      <c r="E946" s="189">
        <v>0</v>
      </c>
      <c r="F946" s="188">
        <f>(1+E946)*D946</f>
        <v>1</v>
      </c>
      <c r="G946" s="190" t="s">
        <v>14</v>
      </c>
      <c r="H946" s="191">
        <v>0</v>
      </c>
      <c r="I946" s="192">
        <f t="shared" si="386"/>
        <v>0</v>
      </c>
      <c r="J946" s="193">
        <v>0</v>
      </c>
      <c r="K946" s="194">
        <f t="shared" si="387"/>
        <v>0</v>
      </c>
      <c r="L946" s="195">
        <v>55</v>
      </c>
      <c r="M946" s="196">
        <f t="shared" si="388"/>
        <v>0</v>
      </c>
      <c r="N946" s="197">
        <f t="shared" si="389"/>
        <v>0</v>
      </c>
      <c r="O946" s="198"/>
      <c r="P946" s="18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</row>
    <row r="947" spans="1:77" s="41" customFormat="1" ht="15.75">
      <c r="A947" s="64">
        <f>IF(F947&lt;&gt;"",1+MAX($A$2:A946),"")</f>
        <v>830</v>
      </c>
      <c r="B947" s="313"/>
      <c r="C947" s="226" t="s">
        <v>819</v>
      </c>
      <c r="D947" s="188">
        <v>5</v>
      </c>
      <c r="E947" s="189">
        <v>0</v>
      </c>
      <c r="F947" s="188">
        <f t="shared" ref="F947" si="394">(1+E947)*D947</f>
        <v>5</v>
      </c>
      <c r="G947" s="190" t="s">
        <v>14</v>
      </c>
      <c r="H947" s="191">
        <v>0</v>
      </c>
      <c r="I947" s="192">
        <f t="shared" si="386"/>
        <v>0</v>
      </c>
      <c r="J947" s="193">
        <v>0</v>
      </c>
      <c r="K947" s="194">
        <f t="shared" si="387"/>
        <v>0</v>
      </c>
      <c r="L947" s="195">
        <v>55</v>
      </c>
      <c r="M947" s="196">
        <f t="shared" si="388"/>
        <v>0</v>
      </c>
      <c r="N947" s="197">
        <f t="shared" si="389"/>
        <v>0</v>
      </c>
      <c r="O947" s="198"/>
      <c r="P947" s="18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</row>
    <row r="948" spans="1:77" s="41" customFormat="1" ht="15.75">
      <c r="A948" s="64">
        <f>IF(F948&lt;&gt;"",1+MAX($A$2:A947),"")</f>
        <v>831</v>
      </c>
      <c r="B948" s="313"/>
      <c r="C948" s="226" t="s">
        <v>820</v>
      </c>
      <c r="D948" s="188">
        <v>1</v>
      </c>
      <c r="E948" s="189">
        <v>0</v>
      </c>
      <c r="F948" s="188">
        <f>(1+E948)*D948</f>
        <v>1</v>
      </c>
      <c r="G948" s="190" t="s">
        <v>14</v>
      </c>
      <c r="H948" s="191">
        <v>0</v>
      </c>
      <c r="I948" s="192">
        <f t="shared" si="386"/>
        <v>0</v>
      </c>
      <c r="J948" s="193">
        <v>0</v>
      </c>
      <c r="K948" s="194">
        <f t="shared" si="387"/>
        <v>0</v>
      </c>
      <c r="L948" s="195">
        <v>55</v>
      </c>
      <c r="M948" s="196">
        <f t="shared" si="388"/>
        <v>0</v>
      </c>
      <c r="N948" s="197">
        <f t="shared" si="389"/>
        <v>0</v>
      </c>
      <c r="O948" s="198"/>
      <c r="P948" s="18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</row>
    <row r="949" spans="1:77" s="41" customFormat="1" ht="15.75">
      <c r="A949" s="64" t="str">
        <f>IF(F949&lt;&gt;"",1+MAX($A$2:A948),"")</f>
        <v/>
      </c>
      <c r="B949" s="313"/>
      <c r="C949" s="270" t="s">
        <v>498</v>
      </c>
      <c r="D949" s="188"/>
      <c r="E949" s="189"/>
      <c r="F949" s="188"/>
      <c r="G949" s="190"/>
      <c r="H949" s="191"/>
      <c r="I949" s="192"/>
      <c r="J949" s="192"/>
      <c r="K949" s="192"/>
      <c r="L949" s="195"/>
      <c r="M949" s="229"/>
      <c r="N949" s="197"/>
      <c r="O949" s="198"/>
      <c r="P949" s="18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</row>
    <row r="950" spans="1:77" s="41" customFormat="1" ht="15.75">
      <c r="A950" s="64">
        <f>IF(F950&lt;&gt;"",1+MAX($A$2:A949),"")</f>
        <v>832</v>
      </c>
      <c r="B950" s="313"/>
      <c r="C950" s="226" t="s">
        <v>821</v>
      </c>
      <c r="D950" s="188">
        <v>1</v>
      </c>
      <c r="E950" s="189">
        <v>0</v>
      </c>
      <c r="F950" s="188">
        <f t="shared" ref="F950:F954" si="395">(1+E950)*D950</f>
        <v>1</v>
      </c>
      <c r="G950" s="190" t="s">
        <v>14</v>
      </c>
      <c r="H950" s="191">
        <v>0</v>
      </c>
      <c r="I950" s="192">
        <f t="shared" ref="I950:I954" si="396">H950*F950</f>
        <v>0</v>
      </c>
      <c r="J950" s="193">
        <v>0</v>
      </c>
      <c r="K950" s="194">
        <f t="shared" ref="K950:K954" si="397">J950*F950</f>
        <v>0</v>
      </c>
      <c r="L950" s="195">
        <v>55</v>
      </c>
      <c r="M950" s="196">
        <f t="shared" ref="M950:M954" si="398">L950*K950</f>
        <v>0</v>
      </c>
      <c r="N950" s="197">
        <f t="shared" ref="N950:N954" si="399">M950+I950</f>
        <v>0</v>
      </c>
      <c r="O950" s="198"/>
      <c r="P950" s="18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</row>
    <row r="951" spans="1:77" s="41" customFormat="1" ht="15.75">
      <c r="A951" s="64">
        <f>IF(F951&lt;&gt;"",1+MAX($A$2:A950),"")</f>
        <v>833</v>
      </c>
      <c r="B951" s="313"/>
      <c r="C951" s="226" t="s">
        <v>822</v>
      </c>
      <c r="D951" s="188">
        <v>1</v>
      </c>
      <c r="E951" s="189">
        <v>0</v>
      </c>
      <c r="F951" s="188">
        <f t="shared" si="395"/>
        <v>1</v>
      </c>
      <c r="G951" s="190" t="s">
        <v>14</v>
      </c>
      <c r="H951" s="191">
        <v>0</v>
      </c>
      <c r="I951" s="192">
        <f t="shared" si="396"/>
        <v>0</v>
      </c>
      <c r="J951" s="193">
        <v>0</v>
      </c>
      <c r="K951" s="194">
        <f t="shared" si="397"/>
        <v>0</v>
      </c>
      <c r="L951" s="195">
        <v>55</v>
      </c>
      <c r="M951" s="196">
        <f t="shared" si="398"/>
        <v>0</v>
      </c>
      <c r="N951" s="197">
        <f t="shared" si="399"/>
        <v>0</v>
      </c>
      <c r="O951" s="198"/>
      <c r="P951" s="18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</row>
    <row r="952" spans="1:77" s="41" customFormat="1" ht="15.75">
      <c r="A952" s="64">
        <f>IF(F952&lt;&gt;"",1+MAX($A$2:A951),"")</f>
        <v>834</v>
      </c>
      <c r="B952" s="313"/>
      <c r="C952" s="226" t="s">
        <v>823</v>
      </c>
      <c r="D952" s="188">
        <v>74</v>
      </c>
      <c r="E952" s="189">
        <v>0</v>
      </c>
      <c r="F952" s="188">
        <f t="shared" si="395"/>
        <v>74</v>
      </c>
      <c r="G952" s="190" t="s">
        <v>14</v>
      </c>
      <c r="H952" s="191">
        <v>0</v>
      </c>
      <c r="I952" s="192">
        <f t="shared" si="396"/>
        <v>0</v>
      </c>
      <c r="J952" s="193">
        <v>0</v>
      </c>
      <c r="K952" s="194">
        <f t="shared" si="397"/>
        <v>0</v>
      </c>
      <c r="L952" s="195">
        <v>55</v>
      </c>
      <c r="M952" s="196">
        <f t="shared" si="398"/>
        <v>0</v>
      </c>
      <c r="N952" s="197">
        <f t="shared" si="399"/>
        <v>0</v>
      </c>
      <c r="O952" s="198"/>
      <c r="P952" s="18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</row>
    <row r="953" spans="1:77" s="41" customFormat="1" ht="15.75">
      <c r="A953" s="64">
        <f>IF(F953&lt;&gt;"",1+MAX($A$2:A952),"")</f>
        <v>835</v>
      </c>
      <c r="B953" s="313"/>
      <c r="C953" s="226" t="s">
        <v>824</v>
      </c>
      <c r="D953" s="188">
        <v>78</v>
      </c>
      <c r="E953" s="189">
        <v>0</v>
      </c>
      <c r="F953" s="188">
        <f t="shared" si="395"/>
        <v>78</v>
      </c>
      <c r="G953" s="190" t="s">
        <v>14</v>
      </c>
      <c r="H953" s="191">
        <v>0</v>
      </c>
      <c r="I953" s="192">
        <f t="shared" si="396"/>
        <v>0</v>
      </c>
      <c r="J953" s="193">
        <v>0</v>
      </c>
      <c r="K953" s="194">
        <f t="shared" si="397"/>
        <v>0</v>
      </c>
      <c r="L953" s="195">
        <v>55</v>
      </c>
      <c r="M953" s="196">
        <f t="shared" si="398"/>
        <v>0</v>
      </c>
      <c r="N953" s="197">
        <f t="shared" si="399"/>
        <v>0</v>
      </c>
      <c r="O953" s="198"/>
      <c r="P953" s="18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</row>
    <row r="954" spans="1:77" s="41" customFormat="1" ht="15.75">
      <c r="A954" s="64">
        <f>IF(F954&lt;&gt;"",1+MAX($A$2:A953),"")</f>
        <v>836</v>
      </c>
      <c r="B954" s="313"/>
      <c r="C954" s="226" t="s">
        <v>825</v>
      </c>
      <c r="D954" s="188">
        <v>23</v>
      </c>
      <c r="E954" s="189">
        <v>0</v>
      </c>
      <c r="F954" s="188">
        <f t="shared" si="395"/>
        <v>23</v>
      </c>
      <c r="G954" s="190" t="s">
        <v>14</v>
      </c>
      <c r="H954" s="191">
        <v>0</v>
      </c>
      <c r="I954" s="192">
        <f t="shared" si="396"/>
        <v>0</v>
      </c>
      <c r="J954" s="193">
        <v>0</v>
      </c>
      <c r="K954" s="194">
        <f t="shared" si="397"/>
        <v>0</v>
      </c>
      <c r="L954" s="195">
        <v>55</v>
      </c>
      <c r="M954" s="196">
        <f t="shared" si="398"/>
        <v>0</v>
      </c>
      <c r="N954" s="197">
        <f t="shared" si="399"/>
        <v>0</v>
      </c>
      <c r="O954" s="198"/>
      <c r="P954" s="18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</row>
    <row r="955" spans="1:77" s="41" customFormat="1" ht="15.75">
      <c r="A955" s="64" t="str">
        <f>IF(F955&lt;&gt;"",1+MAX($A$2:A952),"")</f>
        <v/>
      </c>
      <c r="B955" s="239"/>
      <c r="C955" s="227"/>
      <c r="D955" s="188"/>
      <c r="E955" s="189"/>
      <c r="F955" s="188"/>
      <c r="G955" s="190"/>
      <c r="H955" s="191"/>
      <c r="I955" s="192"/>
      <c r="J955" s="192"/>
      <c r="K955" s="192"/>
      <c r="L955" s="228"/>
      <c r="M955" s="229"/>
      <c r="N955" s="197"/>
      <c r="O955" s="198"/>
      <c r="P955" s="18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</row>
    <row r="956" spans="1:77" s="41" customFormat="1" ht="15.75">
      <c r="A956" s="64" t="str">
        <f>IF(F956&lt;&gt;"",1+MAX($A$2:A954),"")</f>
        <v/>
      </c>
      <c r="B956" s="230"/>
      <c r="C956" s="227" t="s">
        <v>826</v>
      </c>
      <c r="D956" s="188"/>
      <c r="E956" s="189"/>
      <c r="F956" s="188"/>
      <c r="G956" s="190"/>
      <c r="H956" s="191"/>
      <c r="I956" s="192"/>
      <c r="J956" s="192"/>
      <c r="K956" s="192"/>
      <c r="L956" s="228"/>
      <c r="M956" s="229"/>
      <c r="N956" s="197"/>
      <c r="O956" s="198"/>
      <c r="P956" s="18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</row>
    <row r="957" spans="1:77" s="42" customFormat="1" ht="18.75">
      <c r="A957" s="310" t="s">
        <v>827</v>
      </c>
      <c r="B957" s="311"/>
      <c r="C957" s="311"/>
      <c r="D957" s="311"/>
      <c r="E957" s="311"/>
      <c r="F957" s="311"/>
      <c r="G957" s="311"/>
      <c r="H957" s="311"/>
      <c r="I957" s="311"/>
      <c r="J957" s="311"/>
      <c r="K957" s="311"/>
      <c r="L957" s="311"/>
      <c r="M957" s="311"/>
      <c r="N957" s="311"/>
      <c r="O957" s="311"/>
      <c r="P957" s="240">
        <f>SUM(N958:N987)</f>
        <v>0</v>
      </c>
      <c r="Q957" s="2"/>
      <c r="R957" s="2"/>
      <c r="S957"/>
      <c r="T957"/>
      <c r="U957"/>
      <c r="V957"/>
      <c r="W957"/>
      <c r="X957"/>
      <c r="Y957"/>
      <c r="Z957"/>
      <c r="AA957"/>
      <c r="AB957"/>
      <c r="AC957"/>
      <c r="AD957"/>
      <c r="AE957"/>
      <c r="AF957"/>
      <c r="AG957"/>
      <c r="AH957"/>
      <c r="AI957"/>
      <c r="AJ957"/>
      <c r="AK957"/>
      <c r="AL957"/>
      <c r="AM957"/>
      <c r="AN957"/>
      <c r="AO957"/>
      <c r="AP957"/>
      <c r="AQ957"/>
      <c r="AR957"/>
      <c r="AS957"/>
      <c r="AT957"/>
      <c r="AU957"/>
      <c r="AV957"/>
      <c r="AW957"/>
      <c r="AX957"/>
      <c r="AY957"/>
      <c r="AZ957"/>
      <c r="BA957"/>
      <c r="BB957"/>
      <c r="BC957"/>
      <c r="BD957"/>
      <c r="BE957"/>
      <c r="BF957"/>
      <c r="BG957"/>
      <c r="BH957"/>
      <c r="BI957"/>
      <c r="BJ957"/>
      <c r="BK957"/>
      <c r="BL957"/>
      <c r="BM957"/>
      <c r="BN957"/>
      <c r="BO957"/>
      <c r="BP957"/>
      <c r="BQ957"/>
      <c r="BR957"/>
    </row>
    <row r="958" spans="1:77" s="41" customFormat="1" ht="15.75">
      <c r="A958" s="64" t="str">
        <f>IF(F958&lt;&gt;"",1+MAX($A$2:A957),"")</f>
        <v/>
      </c>
      <c r="B958" s="230"/>
      <c r="C958" s="227"/>
      <c r="D958" s="188"/>
      <c r="E958" s="189"/>
      <c r="F958" s="188"/>
      <c r="G958" s="190"/>
      <c r="H958" s="191"/>
      <c r="I958" s="192"/>
      <c r="J958" s="192"/>
      <c r="K958" s="192"/>
      <c r="L958" s="228"/>
      <c r="M958" s="229"/>
      <c r="N958" s="197"/>
      <c r="O958" s="198"/>
      <c r="P958" s="18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</row>
    <row r="959" spans="1:77" s="41" customFormat="1" ht="31.5" customHeight="1">
      <c r="A959" s="64" t="str">
        <f>IF(F959&lt;&gt;"",1+MAX($A$2:A958),"")</f>
        <v/>
      </c>
      <c r="B959" s="312" t="s">
        <v>828</v>
      </c>
      <c r="C959" s="270" t="s">
        <v>829</v>
      </c>
      <c r="D959" s="188"/>
      <c r="E959" s="189"/>
      <c r="F959" s="188"/>
      <c r="G959" s="190"/>
      <c r="H959" s="191"/>
      <c r="I959" s="192"/>
      <c r="J959" s="192"/>
      <c r="K959" s="192"/>
      <c r="L959" s="195"/>
      <c r="M959" s="229"/>
      <c r="N959" s="197"/>
      <c r="O959" s="198"/>
      <c r="P959" s="18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</row>
    <row r="960" spans="1:77" s="41" customFormat="1" ht="15.75">
      <c r="A960" s="64">
        <f>IF(F960&lt;&gt;"",1+MAX($A$2:A959),"")</f>
        <v>837</v>
      </c>
      <c r="B960" s="313"/>
      <c r="C960" s="226" t="s">
        <v>830</v>
      </c>
      <c r="D960" s="188">
        <v>1</v>
      </c>
      <c r="E960" s="189">
        <v>0</v>
      </c>
      <c r="F960" s="188">
        <f t="shared" ref="F960:F986" si="400">(1+E960)*D960</f>
        <v>1</v>
      </c>
      <c r="G960" s="190" t="s">
        <v>14</v>
      </c>
      <c r="H960" s="191">
        <v>0</v>
      </c>
      <c r="I960" s="192">
        <f t="shared" ref="I960:I986" si="401">H960*F960</f>
        <v>0</v>
      </c>
      <c r="J960" s="193">
        <v>0</v>
      </c>
      <c r="K960" s="194">
        <f t="shared" ref="K960:K986" si="402">J960*F960</f>
        <v>0</v>
      </c>
      <c r="L960" s="195">
        <v>55</v>
      </c>
      <c r="M960" s="196">
        <f t="shared" ref="M960:M986" si="403">L960*K960</f>
        <v>0</v>
      </c>
      <c r="N960" s="197">
        <f t="shared" ref="N960:N986" si="404">M960+I960</f>
        <v>0</v>
      </c>
      <c r="O960" s="198"/>
      <c r="P960" s="18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</row>
    <row r="961" spans="1:77" s="41" customFormat="1" ht="15.75">
      <c r="A961" s="64">
        <f>IF(F961&lt;&gt;"",1+MAX($A$2:A960),"")</f>
        <v>838</v>
      </c>
      <c r="B961" s="313"/>
      <c r="C961" s="226" t="s">
        <v>831</v>
      </c>
      <c r="D961" s="188">
        <v>10</v>
      </c>
      <c r="E961" s="189">
        <v>0</v>
      </c>
      <c r="F961" s="188">
        <f t="shared" si="400"/>
        <v>10</v>
      </c>
      <c r="G961" s="190" t="s">
        <v>14</v>
      </c>
      <c r="H961" s="191">
        <v>0</v>
      </c>
      <c r="I961" s="192">
        <f t="shared" si="401"/>
        <v>0</v>
      </c>
      <c r="J961" s="193">
        <v>0</v>
      </c>
      <c r="K961" s="194">
        <f t="shared" si="402"/>
        <v>0</v>
      </c>
      <c r="L961" s="195">
        <v>55</v>
      </c>
      <c r="M961" s="196">
        <f t="shared" si="403"/>
        <v>0</v>
      </c>
      <c r="N961" s="197">
        <f t="shared" si="404"/>
        <v>0</v>
      </c>
      <c r="O961" s="198"/>
      <c r="P961" s="18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</row>
    <row r="962" spans="1:77" s="41" customFormat="1" ht="15.75">
      <c r="A962" s="64">
        <f>IF(F962&lt;&gt;"",1+MAX($A$2:A961),"")</f>
        <v>839</v>
      </c>
      <c r="B962" s="313"/>
      <c r="C962" s="226" t="s">
        <v>832</v>
      </c>
      <c r="D962" s="188">
        <v>1</v>
      </c>
      <c r="E962" s="189">
        <v>0</v>
      </c>
      <c r="F962" s="188">
        <f t="shared" si="400"/>
        <v>1</v>
      </c>
      <c r="G962" s="190" t="s">
        <v>14</v>
      </c>
      <c r="H962" s="191">
        <v>0</v>
      </c>
      <c r="I962" s="192">
        <f t="shared" si="401"/>
        <v>0</v>
      </c>
      <c r="J962" s="193">
        <v>0</v>
      </c>
      <c r="K962" s="194">
        <f t="shared" si="402"/>
        <v>0</v>
      </c>
      <c r="L962" s="195">
        <v>55</v>
      </c>
      <c r="M962" s="196">
        <f t="shared" si="403"/>
        <v>0</v>
      </c>
      <c r="N962" s="197">
        <f t="shared" si="404"/>
        <v>0</v>
      </c>
      <c r="O962" s="198"/>
      <c r="P962" s="18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</row>
    <row r="963" spans="1:77" s="41" customFormat="1" ht="15.75">
      <c r="A963" s="64">
        <f>IF(F963&lt;&gt;"",1+MAX($A$2:A962),"")</f>
        <v>840</v>
      </c>
      <c r="B963" s="313"/>
      <c r="C963" s="226" t="s">
        <v>833</v>
      </c>
      <c r="D963" s="188">
        <v>1</v>
      </c>
      <c r="E963" s="189">
        <v>0</v>
      </c>
      <c r="F963" s="188">
        <f t="shared" si="400"/>
        <v>1</v>
      </c>
      <c r="G963" s="190" t="s">
        <v>14</v>
      </c>
      <c r="H963" s="191">
        <v>0</v>
      </c>
      <c r="I963" s="192">
        <f t="shared" si="401"/>
        <v>0</v>
      </c>
      <c r="J963" s="193">
        <v>0</v>
      </c>
      <c r="K963" s="194">
        <f t="shared" si="402"/>
        <v>0</v>
      </c>
      <c r="L963" s="195">
        <v>55</v>
      </c>
      <c r="M963" s="196">
        <f t="shared" si="403"/>
        <v>0</v>
      </c>
      <c r="N963" s="197">
        <f t="shared" si="404"/>
        <v>0</v>
      </c>
      <c r="O963" s="198"/>
      <c r="P963" s="18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</row>
    <row r="964" spans="1:77" s="41" customFormat="1" ht="15.75">
      <c r="A964" s="64">
        <f>IF(F964&lt;&gt;"",1+MAX($A$2:A963),"")</f>
        <v>841</v>
      </c>
      <c r="B964" s="313"/>
      <c r="C964" s="226" t="s">
        <v>834</v>
      </c>
      <c r="D964" s="188">
        <v>1</v>
      </c>
      <c r="E964" s="189">
        <v>0</v>
      </c>
      <c r="F964" s="188">
        <f t="shared" si="400"/>
        <v>1</v>
      </c>
      <c r="G964" s="190" t="s">
        <v>14</v>
      </c>
      <c r="H964" s="191">
        <v>0</v>
      </c>
      <c r="I964" s="192">
        <f t="shared" si="401"/>
        <v>0</v>
      </c>
      <c r="J964" s="193">
        <v>0</v>
      </c>
      <c r="K964" s="194">
        <f t="shared" si="402"/>
        <v>0</v>
      </c>
      <c r="L964" s="195">
        <v>55</v>
      </c>
      <c r="M964" s="196">
        <f t="shared" si="403"/>
        <v>0</v>
      </c>
      <c r="N964" s="197">
        <f t="shared" si="404"/>
        <v>0</v>
      </c>
      <c r="O964" s="198"/>
      <c r="P964" s="18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</row>
    <row r="965" spans="1:77" s="41" customFormat="1" ht="15.75">
      <c r="A965" s="64">
        <f>IF(F965&lt;&gt;"",1+MAX($A$2:A964),"")</f>
        <v>842</v>
      </c>
      <c r="B965" s="313"/>
      <c r="C965" s="226" t="s">
        <v>835</v>
      </c>
      <c r="D965" s="188">
        <v>1</v>
      </c>
      <c r="E965" s="189">
        <v>0</v>
      </c>
      <c r="F965" s="188">
        <f t="shared" si="400"/>
        <v>1</v>
      </c>
      <c r="G965" s="190" t="s">
        <v>14</v>
      </c>
      <c r="H965" s="191">
        <v>0</v>
      </c>
      <c r="I965" s="192">
        <f t="shared" si="401"/>
        <v>0</v>
      </c>
      <c r="J965" s="193">
        <v>0</v>
      </c>
      <c r="K965" s="194">
        <f t="shared" si="402"/>
        <v>0</v>
      </c>
      <c r="L965" s="195">
        <v>55</v>
      </c>
      <c r="M965" s="196">
        <f t="shared" si="403"/>
        <v>0</v>
      </c>
      <c r="N965" s="197">
        <f t="shared" si="404"/>
        <v>0</v>
      </c>
      <c r="O965" s="198"/>
      <c r="P965" s="18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</row>
    <row r="966" spans="1:77" s="41" customFormat="1" ht="15.75">
      <c r="A966" s="64">
        <f>IF(F966&lt;&gt;"",1+MAX($A$2:A965),"")</f>
        <v>843</v>
      </c>
      <c r="B966" s="313"/>
      <c r="C966" s="226" t="s">
        <v>836</v>
      </c>
      <c r="D966" s="188">
        <v>1</v>
      </c>
      <c r="E966" s="189">
        <v>0</v>
      </c>
      <c r="F966" s="188">
        <f t="shared" si="400"/>
        <v>1</v>
      </c>
      <c r="G966" s="190" t="s">
        <v>14</v>
      </c>
      <c r="H966" s="191">
        <v>0</v>
      </c>
      <c r="I966" s="192">
        <f t="shared" si="401"/>
        <v>0</v>
      </c>
      <c r="J966" s="193">
        <v>0</v>
      </c>
      <c r="K966" s="194">
        <f t="shared" si="402"/>
        <v>0</v>
      </c>
      <c r="L966" s="195">
        <v>55</v>
      </c>
      <c r="M966" s="196">
        <f t="shared" si="403"/>
        <v>0</v>
      </c>
      <c r="N966" s="197">
        <f t="shared" si="404"/>
        <v>0</v>
      </c>
      <c r="O966" s="198"/>
      <c r="P966" s="18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</row>
    <row r="967" spans="1:77" s="41" customFormat="1" ht="15.75">
      <c r="A967" s="64">
        <f>IF(F967&lt;&gt;"",1+MAX($A$2:A966),"")</f>
        <v>844</v>
      </c>
      <c r="B967" s="313"/>
      <c r="C967" s="262" t="s">
        <v>837</v>
      </c>
      <c r="D967" s="267">
        <v>1</v>
      </c>
      <c r="E967" s="268">
        <v>0</v>
      </c>
      <c r="F967" s="267">
        <f t="shared" si="400"/>
        <v>1</v>
      </c>
      <c r="G967" s="269" t="s">
        <v>14</v>
      </c>
      <c r="H967" s="191">
        <v>0</v>
      </c>
      <c r="I967" s="192">
        <f t="shared" si="401"/>
        <v>0</v>
      </c>
      <c r="J967" s="193">
        <v>0</v>
      </c>
      <c r="K967" s="194">
        <f t="shared" si="402"/>
        <v>0</v>
      </c>
      <c r="L967" s="195">
        <v>55</v>
      </c>
      <c r="M967" s="196">
        <f t="shared" si="403"/>
        <v>0</v>
      </c>
      <c r="N967" s="197">
        <f t="shared" si="404"/>
        <v>0</v>
      </c>
      <c r="O967" s="198"/>
      <c r="P967" s="18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</row>
    <row r="968" spans="1:77" s="41" customFormat="1" ht="15.75">
      <c r="A968" s="64">
        <f>IF(F968&lt;&gt;"",1+MAX($A$2:A967),"")</f>
        <v>845</v>
      </c>
      <c r="B968" s="313"/>
      <c r="C968" s="262" t="s">
        <v>838</v>
      </c>
      <c r="D968" s="267">
        <v>13</v>
      </c>
      <c r="E968" s="268">
        <v>0</v>
      </c>
      <c r="F968" s="267">
        <f t="shared" si="400"/>
        <v>13</v>
      </c>
      <c r="G968" s="269" t="s">
        <v>14</v>
      </c>
      <c r="H968" s="191">
        <v>0</v>
      </c>
      <c r="I968" s="192">
        <f t="shared" si="401"/>
        <v>0</v>
      </c>
      <c r="J968" s="193">
        <v>0</v>
      </c>
      <c r="K968" s="194">
        <f t="shared" si="402"/>
        <v>0</v>
      </c>
      <c r="L968" s="195">
        <v>55</v>
      </c>
      <c r="M968" s="196">
        <f t="shared" si="403"/>
        <v>0</v>
      </c>
      <c r="N968" s="197">
        <f t="shared" si="404"/>
        <v>0</v>
      </c>
      <c r="O968" s="198"/>
      <c r="P968" s="18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</row>
    <row r="969" spans="1:77" s="41" customFormat="1" ht="15.75">
      <c r="A969" s="64">
        <f>IF(F969&lt;&gt;"",1+MAX($A$2:A968),"")</f>
        <v>846</v>
      </c>
      <c r="B969" s="313"/>
      <c r="C969" s="226" t="s">
        <v>839</v>
      </c>
      <c r="D969" s="188">
        <v>21</v>
      </c>
      <c r="E969" s="189">
        <v>0</v>
      </c>
      <c r="F969" s="188">
        <f t="shared" si="400"/>
        <v>21</v>
      </c>
      <c r="G969" s="190" t="s">
        <v>14</v>
      </c>
      <c r="H969" s="191">
        <v>0</v>
      </c>
      <c r="I969" s="192">
        <f t="shared" si="401"/>
        <v>0</v>
      </c>
      <c r="J969" s="193">
        <v>0</v>
      </c>
      <c r="K969" s="194">
        <f t="shared" si="402"/>
        <v>0</v>
      </c>
      <c r="L969" s="195">
        <v>55</v>
      </c>
      <c r="M969" s="196">
        <f t="shared" si="403"/>
        <v>0</v>
      </c>
      <c r="N969" s="197">
        <f t="shared" si="404"/>
        <v>0</v>
      </c>
      <c r="O969" s="198"/>
      <c r="P969" s="18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</row>
    <row r="970" spans="1:77" s="41" customFormat="1" ht="15.75">
      <c r="A970" s="64">
        <f>IF(F970&lt;&gt;"",1+MAX($A$2:A969),"")</f>
        <v>847</v>
      </c>
      <c r="B970" s="313"/>
      <c r="C970" s="226" t="s">
        <v>840</v>
      </c>
      <c r="D970" s="188">
        <v>2</v>
      </c>
      <c r="E970" s="189">
        <v>0</v>
      </c>
      <c r="F970" s="188">
        <f t="shared" si="400"/>
        <v>2</v>
      </c>
      <c r="G970" s="190" t="s">
        <v>14</v>
      </c>
      <c r="H970" s="191">
        <v>0</v>
      </c>
      <c r="I970" s="192">
        <f t="shared" si="401"/>
        <v>0</v>
      </c>
      <c r="J970" s="193">
        <v>0</v>
      </c>
      <c r="K970" s="194">
        <f t="shared" si="402"/>
        <v>0</v>
      </c>
      <c r="L970" s="195">
        <v>55</v>
      </c>
      <c r="M970" s="196">
        <f t="shared" si="403"/>
        <v>0</v>
      </c>
      <c r="N970" s="197">
        <f t="shared" si="404"/>
        <v>0</v>
      </c>
      <c r="O970" s="198"/>
      <c r="P970" s="18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</row>
    <row r="971" spans="1:77" s="41" customFormat="1" ht="15.75">
      <c r="A971" s="64">
        <f>IF(F971&lt;&gt;"",1+MAX($A$2:A970),"")</f>
        <v>848</v>
      </c>
      <c r="B971" s="313"/>
      <c r="C971" s="226" t="s">
        <v>841</v>
      </c>
      <c r="D971" s="188">
        <v>18</v>
      </c>
      <c r="E971" s="189">
        <v>0</v>
      </c>
      <c r="F971" s="188">
        <f t="shared" si="400"/>
        <v>18</v>
      </c>
      <c r="G971" s="190" t="s">
        <v>14</v>
      </c>
      <c r="H971" s="191">
        <v>0</v>
      </c>
      <c r="I971" s="192">
        <f t="shared" si="401"/>
        <v>0</v>
      </c>
      <c r="J971" s="193">
        <v>0</v>
      </c>
      <c r="K971" s="194">
        <f t="shared" si="402"/>
        <v>0</v>
      </c>
      <c r="L971" s="195">
        <v>55</v>
      </c>
      <c r="M971" s="196">
        <f t="shared" si="403"/>
        <v>0</v>
      </c>
      <c r="N971" s="197">
        <f t="shared" si="404"/>
        <v>0</v>
      </c>
      <c r="O971" s="198"/>
      <c r="P971" s="18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</row>
    <row r="972" spans="1:77" s="41" customFormat="1" ht="15.75">
      <c r="A972" s="64">
        <f>IF(F972&lt;&gt;"",1+MAX($A$2:A971),"")</f>
        <v>849</v>
      </c>
      <c r="B972" s="313"/>
      <c r="C972" s="226" t="s">
        <v>842</v>
      </c>
      <c r="D972" s="188">
        <v>6</v>
      </c>
      <c r="E972" s="189">
        <v>0</v>
      </c>
      <c r="F972" s="188">
        <f t="shared" si="400"/>
        <v>6</v>
      </c>
      <c r="G972" s="190" t="s">
        <v>14</v>
      </c>
      <c r="H972" s="191">
        <v>0</v>
      </c>
      <c r="I972" s="192">
        <f t="shared" si="401"/>
        <v>0</v>
      </c>
      <c r="J972" s="193">
        <v>0</v>
      </c>
      <c r="K972" s="194">
        <f t="shared" si="402"/>
        <v>0</v>
      </c>
      <c r="L972" s="195">
        <v>55</v>
      </c>
      <c r="M972" s="196">
        <f t="shared" si="403"/>
        <v>0</v>
      </c>
      <c r="N972" s="197">
        <f t="shared" si="404"/>
        <v>0</v>
      </c>
      <c r="O972" s="198"/>
      <c r="P972" s="18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</row>
    <row r="973" spans="1:77" s="41" customFormat="1" ht="15.75">
      <c r="A973" s="64">
        <f>IF(F973&lt;&gt;"",1+MAX($A$2:A972),"")</f>
        <v>850</v>
      </c>
      <c r="B973" s="313"/>
      <c r="C973" s="226" t="s">
        <v>843</v>
      </c>
      <c r="D973" s="188">
        <v>3</v>
      </c>
      <c r="E973" s="189">
        <v>0</v>
      </c>
      <c r="F973" s="188">
        <f t="shared" si="400"/>
        <v>3</v>
      </c>
      <c r="G973" s="190" t="s">
        <v>14</v>
      </c>
      <c r="H973" s="191">
        <v>0</v>
      </c>
      <c r="I973" s="192">
        <f t="shared" si="401"/>
        <v>0</v>
      </c>
      <c r="J973" s="193">
        <v>0</v>
      </c>
      <c r="K973" s="194">
        <f t="shared" si="402"/>
        <v>0</v>
      </c>
      <c r="L973" s="195">
        <v>55</v>
      </c>
      <c r="M973" s="196">
        <f t="shared" si="403"/>
        <v>0</v>
      </c>
      <c r="N973" s="197">
        <f t="shared" si="404"/>
        <v>0</v>
      </c>
      <c r="O973" s="198"/>
      <c r="P973" s="18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</row>
    <row r="974" spans="1:77" s="41" customFormat="1" ht="15.75">
      <c r="A974" s="64">
        <f>IF(F974&lt;&gt;"",1+MAX($A$2:A973),"")</f>
        <v>851</v>
      </c>
      <c r="B974" s="313"/>
      <c r="C974" s="226" t="s">
        <v>844</v>
      </c>
      <c r="D974" s="188">
        <v>1</v>
      </c>
      <c r="E974" s="189">
        <v>0</v>
      </c>
      <c r="F974" s="188">
        <f t="shared" si="400"/>
        <v>1</v>
      </c>
      <c r="G974" s="190" t="s">
        <v>14</v>
      </c>
      <c r="H974" s="191">
        <v>0</v>
      </c>
      <c r="I974" s="192">
        <f t="shared" si="401"/>
        <v>0</v>
      </c>
      <c r="J974" s="193">
        <v>0</v>
      </c>
      <c r="K974" s="194">
        <f t="shared" si="402"/>
        <v>0</v>
      </c>
      <c r="L974" s="195">
        <v>55</v>
      </c>
      <c r="M974" s="196">
        <f t="shared" si="403"/>
        <v>0</v>
      </c>
      <c r="N974" s="197">
        <f t="shared" si="404"/>
        <v>0</v>
      </c>
      <c r="O974" s="198"/>
      <c r="P974" s="18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</row>
    <row r="975" spans="1:77" s="41" customFormat="1" ht="15.75">
      <c r="A975" s="64">
        <f>IF(F975&lt;&gt;"",1+MAX($A$2:A974),"")</f>
        <v>852</v>
      </c>
      <c r="B975" s="313"/>
      <c r="C975" s="226" t="s">
        <v>845</v>
      </c>
      <c r="D975" s="188">
        <v>9</v>
      </c>
      <c r="E975" s="189">
        <v>0</v>
      </c>
      <c r="F975" s="188">
        <f t="shared" si="400"/>
        <v>9</v>
      </c>
      <c r="G975" s="190" t="s">
        <v>14</v>
      </c>
      <c r="H975" s="191">
        <v>0</v>
      </c>
      <c r="I975" s="192">
        <f t="shared" si="401"/>
        <v>0</v>
      </c>
      <c r="J975" s="193">
        <v>0</v>
      </c>
      <c r="K975" s="194">
        <f t="shared" si="402"/>
        <v>0</v>
      </c>
      <c r="L975" s="195">
        <v>55</v>
      </c>
      <c r="M975" s="196">
        <f t="shared" si="403"/>
        <v>0</v>
      </c>
      <c r="N975" s="197">
        <f t="shared" si="404"/>
        <v>0</v>
      </c>
      <c r="O975" s="198"/>
      <c r="P975" s="18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</row>
    <row r="976" spans="1:77" s="41" customFormat="1" ht="15.75">
      <c r="A976" s="64">
        <f>IF(F976&lt;&gt;"",1+MAX($A$2:A975),"")</f>
        <v>853</v>
      </c>
      <c r="B976" s="313"/>
      <c r="C976" s="226" t="s">
        <v>846</v>
      </c>
      <c r="D976" s="188">
        <v>1</v>
      </c>
      <c r="E976" s="189">
        <v>0</v>
      </c>
      <c r="F976" s="188">
        <f t="shared" si="400"/>
        <v>1</v>
      </c>
      <c r="G976" s="190" t="s">
        <v>14</v>
      </c>
      <c r="H976" s="191">
        <v>0</v>
      </c>
      <c r="I976" s="192">
        <f t="shared" si="401"/>
        <v>0</v>
      </c>
      <c r="J976" s="193">
        <v>0</v>
      </c>
      <c r="K976" s="194">
        <f t="shared" si="402"/>
        <v>0</v>
      </c>
      <c r="L976" s="195">
        <v>55</v>
      </c>
      <c r="M976" s="196">
        <f t="shared" si="403"/>
        <v>0</v>
      </c>
      <c r="N976" s="197">
        <f t="shared" si="404"/>
        <v>0</v>
      </c>
      <c r="O976" s="198"/>
      <c r="P976" s="18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</row>
    <row r="977" spans="1:77" s="41" customFormat="1" ht="15.75">
      <c r="A977" s="64">
        <f>IF(F977&lt;&gt;"",1+MAX($A$2:A976),"")</f>
        <v>854</v>
      </c>
      <c r="B977" s="313"/>
      <c r="C977" s="226" t="s">
        <v>715</v>
      </c>
      <c r="D977" s="188">
        <v>15</v>
      </c>
      <c r="E977" s="189">
        <v>0</v>
      </c>
      <c r="F977" s="188">
        <f t="shared" si="400"/>
        <v>15</v>
      </c>
      <c r="G977" s="190" t="s">
        <v>14</v>
      </c>
      <c r="H977" s="191">
        <v>0</v>
      </c>
      <c r="I977" s="192">
        <f t="shared" si="401"/>
        <v>0</v>
      </c>
      <c r="J977" s="193">
        <v>0</v>
      </c>
      <c r="K977" s="194">
        <f t="shared" si="402"/>
        <v>0</v>
      </c>
      <c r="L977" s="195">
        <v>55</v>
      </c>
      <c r="M977" s="196">
        <f t="shared" si="403"/>
        <v>0</v>
      </c>
      <c r="N977" s="197">
        <f t="shared" si="404"/>
        <v>0</v>
      </c>
      <c r="O977" s="198"/>
      <c r="P977" s="18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</row>
    <row r="978" spans="1:77" s="41" customFormat="1" ht="15.75">
      <c r="A978" s="64">
        <f>IF(F978&lt;&gt;"",1+MAX($A$2:A977),"")</f>
        <v>855</v>
      </c>
      <c r="B978" s="313"/>
      <c r="C978" s="226" t="s">
        <v>847</v>
      </c>
      <c r="D978" s="188">
        <v>19</v>
      </c>
      <c r="E978" s="189">
        <v>0</v>
      </c>
      <c r="F978" s="188">
        <f t="shared" si="400"/>
        <v>19</v>
      </c>
      <c r="G978" s="190" t="s">
        <v>14</v>
      </c>
      <c r="H978" s="191">
        <v>0</v>
      </c>
      <c r="I978" s="192">
        <f t="shared" si="401"/>
        <v>0</v>
      </c>
      <c r="J978" s="193">
        <v>0</v>
      </c>
      <c r="K978" s="194">
        <f t="shared" si="402"/>
        <v>0</v>
      </c>
      <c r="L978" s="195">
        <v>55</v>
      </c>
      <c r="M978" s="196">
        <f t="shared" si="403"/>
        <v>0</v>
      </c>
      <c r="N978" s="197">
        <f t="shared" si="404"/>
        <v>0</v>
      </c>
      <c r="O978" s="198"/>
      <c r="P978" s="18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</row>
    <row r="979" spans="1:77" s="41" customFormat="1" ht="15.75">
      <c r="A979" s="64">
        <f>IF(F979&lt;&gt;"",1+MAX($A$2:A978),"")</f>
        <v>856</v>
      </c>
      <c r="B979" s="313"/>
      <c r="C979" s="226" t="s">
        <v>848</v>
      </c>
      <c r="D979" s="188">
        <v>1</v>
      </c>
      <c r="E979" s="189">
        <v>0</v>
      </c>
      <c r="F979" s="188">
        <f t="shared" si="400"/>
        <v>1</v>
      </c>
      <c r="G979" s="190" t="s">
        <v>14</v>
      </c>
      <c r="H979" s="191">
        <v>0</v>
      </c>
      <c r="I979" s="192">
        <f t="shared" si="401"/>
        <v>0</v>
      </c>
      <c r="J979" s="193">
        <v>0</v>
      </c>
      <c r="K979" s="194">
        <f t="shared" si="402"/>
        <v>0</v>
      </c>
      <c r="L979" s="195">
        <v>55</v>
      </c>
      <c r="M979" s="196">
        <f t="shared" si="403"/>
        <v>0</v>
      </c>
      <c r="N979" s="197">
        <f t="shared" si="404"/>
        <v>0</v>
      </c>
      <c r="O979" s="198"/>
      <c r="P979" s="18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</row>
    <row r="980" spans="1:77" s="41" customFormat="1" ht="15.75">
      <c r="A980" s="64">
        <f>IF(F980&lt;&gt;"",1+MAX($A$2:A979),"")</f>
        <v>857</v>
      </c>
      <c r="B980" s="313"/>
      <c r="C980" s="262" t="s">
        <v>849</v>
      </c>
      <c r="D980" s="267">
        <v>1</v>
      </c>
      <c r="E980" s="268">
        <v>0</v>
      </c>
      <c r="F980" s="267">
        <f t="shared" si="400"/>
        <v>1</v>
      </c>
      <c r="G980" s="269" t="s">
        <v>14</v>
      </c>
      <c r="H980" s="191">
        <v>0</v>
      </c>
      <c r="I980" s="192">
        <f t="shared" si="401"/>
        <v>0</v>
      </c>
      <c r="J980" s="193">
        <v>0</v>
      </c>
      <c r="K980" s="194">
        <f t="shared" si="402"/>
        <v>0</v>
      </c>
      <c r="L980" s="195">
        <v>55</v>
      </c>
      <c r="M980" s="196">
        <f t="shared" si="403"/>
        <v>0</v>
      </c>
      <c r="N980" s="197">
        <f t="shared" si="404"/>
        <v>0</v>
      </c>
      <c r="O980" s="198"/>
      <c r="P980" s="18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</row>
    <row r="981" spans="1:77" s="41" customFormat="1" ht="15.75">
      <c r="A981" s="64">
        <f>IF(F981&lt;&gt;"",1+MAX($A$2:A980),"")</f>
        <v>858</v>
      </c>
      <c r="B981" s="313"/>
      <c r="C981" s="262" t="s">
        <v>850</v>
      </c>
      <c r="D981" s="267">
        <v>30</v>
      </c>
      <c r="E981" s="268">
        <v>0</v>
      </c>
      <c r="F981" s="267">
        <f t="shared" si="400"/>
        <v>30</v>
      </c>
      <c r="G981" s="269" t="s">
        <v>14</v>
      </c>
      <c r="H981" s="191">
        <v>0</v>
      </c>
      <c r="I981" s="192">
        <f t="shared" si="401"/>
        <v>0</v>
      </c>
      <c r="J981" s="193">
        <v>0</v>
      </c>
      <c r="K981" s="194">
        <f t="shared" si="402"/>
        <v>0</v>
      </c>
      <c r="L981" s="195">
        <v>55</v>
      </c>
      <c r="M981" s="196">
        <f t="shared" si="403"/>
        <v>0</v>
      </c>
      <c r="N981" s="197">
        <f t="shared" si="404"/>
        <v>0</v>
      </c>
      <c r="O981" s="198"/>
      <c r="P981" s="18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</row>
    <row r="982" spans="1:77" s="41" customFormat="1" ht="15.75">
      <c r="A982" s="64">
        <f>IF(F982&lt;&gt;"",1+MAX($A$2:A981),"")</f>
        <v>859</v>
      </c>
      <c r="B982" s="313"/>
      <c r="C982" s="226" t="s">
        <v>851</v>
      </c>
      <c r="D982" s="188">
        <v>42</v>
      </c>
      <c r="E982" s="189">
        <v>0</v>
      </c>
      <c r="F982" s="188">
        <f t="shared" si="400"/>
        <v>42</v>
      </c>
      <c r="G982" s="190" t="s">
        <v>14</v>
      </c>
      <c r="H982" s="191">
        <v>0</v>
      </c>
      <c r="I982" s="192">
        <f t="shared" si="401"/>
        <v>0</v>
      </c>
      <c r="J982" s="193">
        <v>0</v>
      </c>
      <c r="K982" s="194">
        <f t="shared" si="402"/>
        <v>0</v>
      </c>
      <c r="L982" s="195">
        <v>55</v>
      </c>
      <c r="M982" s="196">
        <f t="shared" si="403"/>
        <v>0</v>
      </c>
      <c r="N982" s="197">
        <f t="shared" si="404"/>
        <v>0</v>
      </c>
      <c r="O982" s="198"/>
      <c r="P982" s="18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</row>
    <row r="983" spans="1:77" s="41" customFormat="1" ht="15.75">
      <c r="A983" s="64">
        <f>IF(F983&lt;&gt;"",1+MAX($A$2:A982),"")</f>
        <v>860</v>
      </c>
      <c r="B983" s="313"/>
      <c r="C983" s="226" t="s">
        <v>852</v>
      </c>
      <c r="D983" s="188">
        <v>2</v>
      </c>
      <c r="E983" s="189">
        <v>0</v>
      </c>
      <c r="F983" s="188">
        <f t="shared" si="400"/>
        <v>2</v>
      </c>
      <c r="G983" s="190" t="s">
        <v>14</v>
      </c>
      <c r="H983" s="191">
        <v>0</v>
      </c>
      <c r="I983" s="192">
        <f t="shared" si="401"/>
        <v>0</v>
      </c>
      <c r="J983" s="193">
        <v>0</v>
      </c>
      <c r="K983" s="194">
        <f t="shared" si="402"/>
        <v>0</v>
      </c>
      <c r="L983" s="195">
        <v>55</v>
      </c>
      <c r="M983" s="196">
        <f t="shared" si="403"/>
        <v>0</v>
      </c>
      <c r="N983" s="197">
        <f t="shared" si="404"/>
        <v>0</v>
      </c>
      <c r="O983" s="198"/>
      <c r="P983" s="18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</row>
    <row r="984" spans="1:77" s="41" customFormat="1" ht="15.75">
      <c r="A984" s="64">
        <f>IF(F984&lt;&gt;"",1+MAX($A$2:A983),"")</f>
        <v>861</v>
      </c>
      <c r="B984" s="313"/>
      <c r="C984" s="226" t="s">
        <v>853</v>
      </c>
      <c r="D984" s="188">
        <v>3</v>
      </c>
      <c r="E984" s="189">
        <v>0</v>
      </c>
      <c r="F984" s="188">
        <f t="shared" si="400"/>
        <v>3</v>
      </c>
      <c r="G984" s="190" t="s">
        <v>14</v>
      </c>
      <c r="H984" s="191">
        <v>0</v>
      </c>
      <c r="I984" s="192">
        <f t="shared" si="401"/>
        <v>0</v>
      </c>
      <c r="J984" s="193">
        <v>0</v>
      </c>
      <c r="K984" s="194">
        <f t="shared" si="402"/>
        <v>0</v>
      </c>
      <c r="L984" s="195">
        <v>55</v>
      </c>
      <c r="M984" s="196">
        <f t="shared" si="403"/>
        <v>0</v>
      </c>
      <c r="N984" s="197">
        <f t="shared" si="404"/>
        <v>0</v>
      </c>
      <c r="O984" s="198"/>
      <c r="P984" s="18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</row>
    <row r="985" spans="1:77" s="41" customFormat="1" ht="15.75">
      <c r="A985" s="64">
        <f>IF(F985&lt;&gt;"",1+MAX($A$2:A984),"")</f>
        <v>862</v>
      </c>
      <c r="B985" s="313"/>
      <c r="C985" s="226" t="s">
        <v>854</v>
      </c>
      <c r="D985" s="188">
        <v>1</v>
      </c>
      <c r="E985" s="189">
        <v>0</v>
      </c>
      <c r="F985" s="188">
        <f t="shared" si="400"/>
        <v>1</v>
      </c>
      <c r="G985" s="190" t="s">
        <v>14</v>
      </c>
      <c r="H985" s="191">
        <v>0</v>
      </c>
      <c r="I985" s="192">
        <f t="shared" si="401"/>
        <v>0</v>
      </c>
      <c r="J985" s="193">
        <v>0</v>
      </c>
      <c r="K985" s="194">
        <f t="shared" si="402"/>
        <v>0</v>
      </c>
      <c r="L985" s="195">
        <v>55</v>
      </c>
      <c r="M985" s="196">
        <f t="shared" si="403"/>
        <v>0</v>
      </c>
      <c r="N985" s="197">
        <f t="shared" si="404"/>
        <v>0</v>
      </c>
      <c r="O985" s="198"/>
      <c r="P985" s="18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</row>
    <row r="986" spans="1:77" s="41" customFormat="1" ht="15.75">
      <c r="A986" s="64">
        <f>IF(F986&lt;&gt;"",1+MAX($A$2:A985),"")</f>
        <v>863</v>
      </c>
      <c r="B986" s="313"/>
      <c r="C986" s="226" t="s">
        <v>855</v>
      </c>
      <c r="D986" s="188">
        <v>1</v>
      </c>
      <c r="E986" s="189">
        <v>0</v>
      </c>
      <c r="F986" s="188">
        <f t="shared" si="400"/>
        <v>1</v>
      </c>
      <c r="G986" s="190" t="s">
        <v>14</v>
      </c>
      <c r="H986" s="191">
        <v>0</v>
      </c>
      <c r="I986" s="192">
        <f t="shared" si="401"/>
        <v>0</v>
      </c>
      <c r="J986" s="193">
        <v>0</v>
      </c>
      <c r="K986" s="194">
        <f t="shared" si="402"/>
        <v>0</v>
      </c>
      <c r="L986" s="195">
        <v>55</v>
      </c>
      <c r="M986" s="196">
        <f t="shared" si="403"/>
        <v>0</v>
      </c>
      <c r="N986" s="197">
        <f t="shared" si="404"/>
        <v>0</v>
      </c>
      <c r="O986" s="198"/>
      <c r="P986" s="18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</row>
    <row r="987" spans="1:77" s="41" customFormat="1" ht="15.75">
      <c r="A987" s="33"/>
      <c r="B987" s="32"/>
      <c r="C987" s="35"/>
      <c r="D987" s="36"/>
      <c r="E987" s="37"/>
      <c r="F987" s="36"/>
      <c r="G987" s="38"/>
      <c r="H987" s="27"/>
      <c r="I987" s="39"/>
      <c r="J987" s="39"/>
      <c r="K987" s="39"/>
      <c r="L987" s="40"/>
      <c r="M987" s="28"/>
      <c r="N987" s="29"/>
      <c r="O987" s="30"/>
      <c r="P987" s="31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</row>
    <row r="988" spans="1:77" s="42" customFormat="1" ht="18.75">
      <c r="A988" s="333" t="s">
        <v>23</v>
      </c>
      <c r="B988" s="334"/>
      <c r="C988" s="334"/>
      <c r="D988" s="334"/>
      <c r="E988" s="334"/>
      <c r="F988" s="334"/>
      <c r="G988" s="334"/>
      <c r="H988" s="334"/>
      <c r="I988" s="334"/>
      <c r="J988" s="334"/>
      <c r="K988" s="334"/>
      <c r="L988" s="334"/>
      <c r="M988" s="334"/>
      <c r="N988" s="334"/>
      <c r="O988" s="334"/>
      <c r="P988" s="56">
        <f>SUM(N989:N992)</f>
        <v>0</v>
      </c>
      <c r="Q988"/>
      <c r="R988"/>
      <c r="S988"/>
      <c r="T988"/>
      <c r="U988"/>
      <c r="V988"/>
      <c r="W988"/>
      <c r="X988"/>
      <c r="Y988"/>
      <c r="Z988"/>
      <c r="AA988"/>
      <c r="AB988"/>
      <c r="AC988"/>
      <c r="AD988"/>
      <c r="AE988"/>
      <c r="AF988"/>
      <c r="AG988"/>
      <c r="AH988"/>
      <c r="AI988"/>
      <c r="AJ988"/>
      <c r="AK988"/>
      <c r="AL988"/>
      <c r="AM988"/>
      <c r="AN988"/>
      <c r="AO988"/>
      <c r="AP988"/>
      <c r="AQ988"/>
      <c r="AR988"/>
      <c r="AS988"/>
      <c r="AT988"/>
      <c r="AU988"/>
      <c r="AV988"/>
      <c r="AW988"/>
      <c r="AX988"/>
      <c r="AY988"/>
      <c r="AZ988"/>
      <c r="BA988"/>
      <c r="BB988"/>
      <c r="BC988"/>
      <c r="BD988"/>
      <c r="BE988"/>
      <c r="BF988"/>
      <c r="BG988"/>
      <c r="BH988"/>
      <c r="BI988"/>
      <c r="BJ988"/>
      <c r="BK988"/>
      <c r="BL988"/>
      <c r="BM988"/>
      <c r="BN988"/>
      <c r="BO988"/>
      <c r="BP988"/>
    </row>
    <row r="989" spans="1:77" s="41" customFormat="1" ht="15.75">
      <c r="A989" s="64" t="str">
        <f>IF(F989&lt;&gt;"",1+MAX($A$2:A988),"")</f>
        <v/>
      </c>
      <c r="B989" s="32"/>
      <c r="C989" s="15"/>
      <c r="D989" s="57"/>
      <c r="E989" s="45"/>
      <c r="F989" s="57"/>
      <c r="G989" s="58"/>
      <c r="H989" s="44"/>
      <c r="I989" s="46"/>
      <c r="J989" s="46"/>
      <c r="K989" s="46"/>
      <c r="L989" s="59"/>
      <c r="M989" s="60"/>
      <c r="N989" s="61"/>
      <c r="O989" s="17"/>
      <c r="P989" s="18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</row>
    <row r="990" spans="1:77" s="41" customFormat="1" ht="15.75">
      <c r="A990" s="64" t="str">
        <f>IF(F990&lt;&gt;"",1+MAX($A$2:A989),"")</f>
        <v/>
      </c>
      <c r="B990" s="335"/>
      <c r="C990" s="62" t="s">
        <v>31</v>
      </c>
      <c r="D990" s="57"/>
      <c r="E990" s="45"/>
      <c r="F990" s="57"/>
      <c r="G990" s="58"/>
      <c r="H990" s="44"/>
      <c r="I990" s="46"/>
      <c r="J990" s="46"/>
      <c r="K990" s="46"/>
      <c r="L990" s="65"/>
      <c r="M990" s="60"/>
      <c r="N990" s="61"/>
      <c r="O990" s="17"/>
      <c r="P990" s="18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</row>
    <row r="991" spans="1:77" s="41" customFormat="1" ht="15.75">
      <c r="A991" s="64">
        <f>IF(F991&lt;&gt;"",1+MAX($A$2:A990),"")</f>
        <v>864</v>
      </c>
      <c r="B991" s="313"/>
      <c r="C991" s="63" t="s">
        <v>32</v>
      </c>
      <c r="D991" s="57">
        <v>92.8</v>
      </c>
      <c r="E991" s="45">
        <v>0.15</v>
      </c>
      <c r="F991" s="57">
        <f t="shared" ref="F991:F992" si="405">(1+E991)*D991</f>
        <v>106.71999999999998</v>
      </c>
      <c r="G991" s="58" t="s">
        <v>22</v>
      </c>
      <c r="H991" s="44">
        <v>0</v>
      </c>
      <c r="I991" s="46">
        <f t="shared" ref="I991:I992" si="406">H991*F991</f>
        <v>0</v>
      </c>
      <c r="J991" s="72">
        <v>0</v>
      </c>
      <c r="K991" s="73">
        <f t="shared" ref="K991:K992" si="407">J991*F991</f>
        <v>0</v>
      </c>
      <c r="L991" s="65">
        <v>55</v>
      </c>
      <c r="M991" s="74">
        <f t="shared" ref="M991:M992" si="408">L991*K991</f>
        <v>0</v>
      </c>
      <c r="N991" s="61">
        <f t="shared" ref="N991:N992" si="409">M991+I991</f>
        <v>0</v>
      </c>
      <c r="O991" s="17"/>
      <c r="P991" s="18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</row>
    <row r="992" spans="1:77" s="41" customFormat="1" ht="15.75">
      <c r="A992" s="64">
        <f>IF(F992&lt;&gt;"",1+MAX($A$2:A991),"")</f>
        <v>865</v>
      </c>
      <c r="B992" s="313"/>
      <c r="C992" s="63" t="s">
        <v>33</v>
      </c>
      <c r="D992" s="57">
        <v>37.5</v>
      </c>
      <c r="E992" s="45">
        <v>0.15</v>
      </c>
      <c r="F992" s="57">
        <f t="shared" si="405"/>
        <v>43.125</v>
      </c>
      <c r="G992" s="58" t="s">
        <v>22</v>
      </c>
      <c r="H992" s="44">
        <v>0</v>
      </c>
      <c r="I992" s="46">
        <f t="shared" si="406"/>
        <v>0</v>
      </c>
      <c r="J992" s="72">
        <v>0</v>
      </c>
      <c r="K992" s="73">
        <f t="shared" si="407"/>
        <v>0</v>
      </c>
      <c r="L992" s="65">
        <v>55</v>
      </c>
      <c r="M992" s="74">
        <f t="shared" si="408"/>
        <v>0</v>
      </c>
      <c r="N992" s="61">
        <f t="shared" si="409"/>
        <v>0</v>
      </c>
      <c r="O992" s="17"/>
      <c r="P992" s="18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</row>
    <row r="993" spans="1:408" s="41" customFormat="1" ht="15.75">
      <c r="A993" s="64" t="str">
        <f>IF(F993&lt;&gt;"",1+MAX($A$2:A992),"")</f>
        <v/>
      </c>
      <c r="B993" s="32"/>
      <c r="C993" s="15"/>
      <c r="D993" s="57"/>
      <c r="E993" s="45"/>
      <c r="F993" s="57"/>
      <c r="G993" s="58"/>
      <c r="H993" s="44"/>
      <c r="I993" s="46"/>
      <c r="J993" s="46"/>
      <c r="K993" s="46"/>
      <c r="L993" s="65"/>
      <c r="M993" s="60"/>
      <c r="N993" s="61"/>
      <c r="O993" s="17"/>
      <c r="P993" s="18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  <c r="AI993" s="2"/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  <c r="AY993" s="2"/>
      <c r="AZ993" s="2"/>
      <c r="BA993" s="2"/>
      <c r="BB993" s="2"/>
      <c r="BC993" s="2"/>
      <c r="BD993" s="2"/>
      <c r="BE993" s="2"/>
      <c r="BF993" s="2"/>
      <c r="BG993" s="2"/>
      <c r="BH993" s="2"/>
      <c r="BI993" s="2"/>
      <c r="BJ993" s="2"/>
      <c r="BK993" s="2"/>
      <c r="BL993" s="2"/>
      <c r="BM993" s="2"/>
      <c r="BN993" s="2"/>
      <c r="BO993" s="2"/>
      <c r="BP993" s="2"/>
      <c r="BQ993" s="2"/>
      <c r="BR993" s="2"/>
      <c r="BS993" s="2"/>
      <c r="BT993" s="2"/>
      <c r="BU993" s="2"/>
      <c r="BV993" s="2"/>
      <c r="BW993" s="2"/>
    </row>
    <row r="994" spans="1:408" s="42" customFormat="1" ht="18.75">
      <c r="A994" s="310" t="s">
        <v>1023</v>
      </c>
      <c r="B994" s="311"/>
      <c r="C994" s="311"/>
      <c r="D994" s="311"/>
      <c r="E994" s="311"/>
      <c r="F994" s="311"/>
      <c r="G994" s="311"/>
      <c r="H994" s="311"/>
      <c r="I994" s="311"/>
      <c r="J994" s="311"/>
      <c r="K994" s="311"/>
      <c r="L994" s="311"/>
      <c r="M994" s="311"/>
      <c r="N994" s="311"/>
      <c r="O994" s="311"/>
      <c r="P994" s="240">
        <f>SUM(N995:N995)</f>
        <v>0</v>
      </c>
      <c r="Q994" s="2"/>
      <c r="R994" s="2"/>
      <c r="S994"/>
      <c r="T994"/>
      <c r="U994"/>
      <c r="V994"/>
      <c r="W994"/>
      <c r="X994"/>
      <c r="Y994"/>
      <c r="Z994"/>
      <c r="AA994"/>
      <c r="AB994"/>
      <c r="AC994"/>
      <c r="AD994"/>
      <c r="AE994"/>
      <c r="AF994"/>
      <c r="AG994"/>
      <c r="AH994"/>
      <c r="AI994"/>
      <c r="AJ994"/>
      <c r="AK994"/>
      <c r="AL994"/>
      <c r="AM994"/>
      <c r="AN994"/>
      <c r="AO994"/>
      <c r="AP994"/>
      <c r="AQ994"/>
      <c r="AR994"/>
      <c r="AS994"/>
      <c r="AT994"/>
      <c r="AU994"/>
      <c r="AV994"/>
      <c r="AW994"/>
      <c r="AX994"/>
      <c r="AY994"/>
      <c r="AZ994"/>
      <c r="BA994"/>
      <c r="BB994"/>
      <c r="BC994"/>
      <c r="BD994"/>
      <c r="BE994"/>
      <c r="BF994"/>
      <c r="BG994"/>
      <c r="BH994"/>
      <c r="BI994"/>
      <c r="BJ994"/>
      <c r="BK994"/>
      <c r="BL994"/>
      <c r="BM994"/>
      <c r="BN994"/>
      <c r="BO994"/>
      <c r="BP994"/>
      <c r="BQ994"/>
      <c r="BR994"/>
    </row>
    <row r="995" spans="1:408" s="41" customFormat="1" ht="15.75">
      <c r="A995" s="241" t="str">
        <f>IF(F995&lt;&gt;"",1+MAX($A$2:A994),"")</f>
        <v/>
      </c>
      <c r="B995" s="279"/>
      <c r="C995" s="242"/>
      <c r="D995" s="243"/>
      <c r="E995" s="244"/>
      <c r="F995" s="243"/>
      <c r="G995" s="245"/>
      <c r="H995" s="246"/>
      <c r="I995" s="247"/>
      <c r="J995" s="247"/>
      <c r="K995" s="247"/>
      <c r="L995" s="248"/>
      <c r="M995" s="249"/>
      <c r="N995" s="250"/>
      <c r="O995" s="251"/>
      <c r="P995" s="18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  <c r="AI995" s="2"/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  <c r="AY995" s="2"/>
      <c r="AZ995" s="2"/>
      <c r="BA995" s="2"/>
      <c r="BB995" s="2"/>
      <c r="BC995" s="2"/>
      <c r="BD995" s="2"/>
      <c r="BE995" s="2"/>
      <c r="BF995" s="2"/>
      <c r="BG995" s="2"/>
      <c r="BH995" s="2"/>
      <c r="BI995" s="2"/>
      <c r="BJ995" s="2"/>
      <c r="BK995" s="2"/>
      <c r="BL995" s="2"/>
      <c r="BM995" s="2"/>
      <c r="BN995" s="2"/>
      <c r="BO995" s="2"/>
      <c r="BP995" s="2"/>
      <c r="BQ995" s="2"/>
      <c r="BR995" s="2"/>
      <c r="BS995" s="2"/>
      <c r="BT995" s="2"/>
      <c r="BU995" s="2"/>
      <c r="BV995" s="2"/>
      <c r="BW995" s="2"/>
      <c r="BX995" s="2"/>
      <c r="BY995" s="2"/>
    </row>
    <row r="996" spans="1:408" s="41" customFormat="1" ht="15.75">
      <c r="A996" s="241" t="str">
        <f>IF(F996&lt;&gt;"",1+MAX($A$2:A995),"")</f>
        <v/>
      </c>
      <c r="B996" s="347" t="s">
        <v>1024</v>
      </c>
      <c r="C996" s="203" t="s">
        <v>1025</v>
      </c>
      <c r="D996" s="285"/>
      <c r="E996" s="286"/>
      <c r="F996" s="285"/>
      <c r="G996" s="287"/>
      <c r="H996" s="271"/>
      <c r="I996" s="272"/>
      <c r="J996" s="273"/>
      <c r="K996" s="274"/>
      <c r="L996" s="275"/>
      <c r="M996" s="276"/>
      <c r="N996" s="277"/>
      <c r="O996" s="278"/>
      <c r="P996" s="18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</row>
    <row r="997" spans="1:408" s="41" customFormat="1" ht="15.75">
      <c r="A997" s="241" t="str">
        <f>IF(F997&lt;&gt;"",1+MAX($A$2:A996),"")</f>
        <v/>
      </c>
      <c r="B997" s="313"/>
      <c r="C997" s="288" t="s">
        <v>1026</v>
      </c>
      <c r="D997" s="285"/>
      <c r="E997" s="286"/>
      <c r="F997" s="285"/>
      <c r="G997" s="287"/>
      <c r="H997" s="271"/>
      <c r="I997" s="272"/>
      <c r="J997" s="273"/>
      <c r="K997" s="274"/>
      <c r="L997" s="275"/>
      <c r="M997" s="276"/>
      <c r="N997" s="277"/>
      <c r="O997" s="278"/>
      <c r="P997" s="18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  <c r="AI997" s="2"/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  <c r="AY997" s="2"/>
      <c r="AZ997" s="2"/>
      <c r="BA997" s="2"/>
      <c r="BB997" s="2"/>
      <c r="BC997" s="2"/>
      <c r="BD997" s="2"/>
      <c r="BE997" s="2"/>
      <c r="BF997" s="2"/>
      <c r="BG997" s="2"/>
      <c r="BH997" s="2"/>
      <c r="BI997" s="2"/>
      <c r="BJ997" s="2"/>
      <c r="BK997" s="2"/>
      <c r="BL997" s="2"/>
      <c r="BM997" s="2"/>
      <c r="BN997" s="2"/>
      <c r="BO997" s="2"/>
      <c r="BP997" s="2"/>
      <c r="BQ997" s="2"/>
      <c r="BR997" s="2"/>
      <c r="BS997" s="2"/>
      <c r="BT997" s="2"/>
      <c r="BU997" s="2"/>
      <c r="BV997" s="2"/>
      <c r="BW997" s="2"/>
      <c r="BX997" s="2"/>
      <c r="BY997" s="2"/>
    </row>
    <row r="998" spans="1:408" s="41" customFormat="1" ht="15.75">
      <c r="A998" s="64">
        <f>IF(F998&lt;&gt;"",1+MAX($A$2:A997),"")</f>
        <v>866</v>
      </c>
      <c r="B998" s="313"/>
      <c r="C998" s="289" t="s">
        <v>1027</v>
      </c>
      <c r="D998" s="285">
        <v>231.7</v>
      </c>
      <c r="E998" s="286">
        <v>0.05</v>
      </c>
      <c r="F998" s="285">
        <f t="shared" ref="F998" si="410">(1+E998)*D998</f>
        <v>243.285</v>
      </c>
      <c r="G998" s="287" t="s">
        <v>25</v>
      </c>
      <c r="H998" s="246">
        <v>0</v>
      </c>
      <c r="I998" s="247">
        <f t="shared" ref="I998" si="411">H998*F998</f>
        <v>0</v>
      </c>
      <c r="J998" s="254">
        <v>0</v>
      </c>
      <c r="K998" s="255">
        <f t="shared" ref="K998" si="412">J998*F998</f>
        <v>0</v>
      </c>
      <c r="L998" s="256">
        <v>55</v>
      </c>
      <c r="M998" s="257">
        <f t="shared" ref="M998" si="413">L998*K998</f>
        <v>0</v>
      </c>
      <c r="N998" s="250">
        <f t="shared" ref="N998" si="414">M998+I998</f>
        <v>0</v>
      </c>
      <c r="O998" s="278"/>
      <c r="P998" s="18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</row>
    <row r="999" spans="1:408" s="41" customFormat="1" ht="15.75">
      <c r="A999" s="64" t="str">
        <f>IF(F999&lt;&gt;"",1+MAX($A$2:A998),"")</f>
        <v/>
      </c>
      <c r="B999" s="313"/>
      <c r="C999" s="290" t="s">
        <v>1028</v>
      </c>
      <c r="D999" s="285"/>
      <c r="E999" s="286"/>
      <c r="F999" s="285"/>
      <c r="G999" s="287"/>
      <c r="H999" s="271"/>
      <c r="I999" s="272"/>
      <c r="J999" s="273"/>
      <c r="K999" s="274"/>
      <c r="L999" s="275"/>
      <c r="M999" s="276"/>
      <c r="N999" s="277"/>
      <c r="O999" s="278"/>
      <c r="P999" s="18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</row>
    <row r="1000" spans="1:408" s="41" customFormat="1" ht="15.75">
      <c r="A1000" s="64">
        <f>IF(F1000&lt;&gt;"",1+MAX($A$2:A999),"")</f>
        <v>867</v>
      </c>
      <c r="B1000" s="313"/>
      <c r="C1000" s="289" t="s">
        <v>1029</v>
      </c>
      <c r="D1000" s="285">
        <v>2</v>
      </c>
      <c r="E1000" s="286">
        <v>0</v>
      </c>
      <c r="F1000" s="285">
        <f>(1+E1000)*D1000</f>
        <v>2</v>
      </c>
      <c r="G1000" s="287" t="s">
        <v>14</v>
      </c>
      <c r="H1000" s="246">
        <v>0</v>
      </c>
      <c r="I1000" s="247">
        <f t="shared" ref="I1000" si="415">H1000*F1000</f>
        <v>0</v>
      </c>
      <c r="J1000" s="254">
        <v>0</v>
      </c>
      <c r="K1000" s="255">
        <f t="shared" ref="K1000" si="416">J1000*F1000</f>
        <v>0</v>
      </c>
      <c r="L1000" s="256">
        <v>55</v>
      </c>
      <c r="M1000" s="257">
        <f t="shared" ref="M1000" si="417">L1000*K1000</f>
        <v>0</v>
      </c>
      <c r="N1000" s="250">
        <f t="shared" ref="N1000" si="418">M1000+I1000</f>
        <v>0</v>
      </c>
      <c r="O1000" s="278"/>
      <c r="P1000" s="18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</row>
    <row r="1001" spans="1:408" s="41" customFormat="1" ht="16.5" thickBot="1">
      <c r="A1001" s="33"/>
      <c r="B1001" s="34"/>
      <c r="C1001" s="35"/>
      <c r="D1001" s="36"/>
      <c r="E1001" s="37"/>
      <c r="F1001" s="36"/>
      <c r="G1001" s="38"/>
      <c r="H1001" s="27"/>
      <c r="I1001" s="39"/>
      <c r="J1001" s="39"/>
      <c r="K1001" s="39"/>
      <c r="L1001" s="40"/>
      <c r="M1001" s="28"/>
      <c r="N1001" s="29"/>
      <c r="O1001" s="30"/>
      <c r="P1001" s="31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</row>
    <row r="1002" spans="1:408" s="77" customFormat="1" ht="19.5" thickBot="1">
      <c r="A1002" s="315" t="s">
        <v>84</v>
      </c>
      <c r="B1002" s="316"/>
      <c r="C1002" s="316"/>
      <c r="D1002" s="165"/>
      <c r="E1002" s="165"/>
      <c r="F1002" s="165"/>
      <c r="G1002" s="165"/>
      <c r="H1002" s="166"/>
      <c r="I1002" s="166"/>
      <c r="J1002" s="165"/>
      <c r="K1002" s="317" t="s">
        <v>85</v>
      </c>
      <c r="L1002" s="318"/>
      <c r="M1002" s="318"/>
      <c r="N1002" s="318"/>
      <c r="O1002" s="319"/>
      <c r="P1002" s="167">
        <f>SUM(P7:P1001)</f>
        <v>0.44</v>
      </c>
    </row>
    <row r="1003" spans="1:408" s="77" customFormat="1" ht="15.75" customHeight="1" thickBot="1">
      <c r="A1003" s="320" t="s">
        <v>86</v>
      </c>
      <c r="B1003" s="321"/>
      <c r="C1003" s="321"/>
      <c r="D1003" s="168"/>
      <c r="E1003" s="168"/>
      <c r="F1003" s="168"/>
      <c r="G1003" s="168"/>
      <c r="H1003" s="169"/>
      <c r="I1003" s="169"/>
      <c r="J1003" s="168"/>
      <c r="K1003" s="170"/>
      <c r="L1003" s="171"/>
      <c r="M1003" s="171"/>
      <c r="N1003" s="171"/>
      <c r="O1003" s="171"/>
      <c r="P1003" s="172"/>
    </row>
    <row r="1004" spans="1:408" s="176" customFormat="1" ht="15.75">
      <c r="A1004" s="320"/>
      <c r="B1004" s="321"/>
      <c r="C1004" s="321"/>
      <c r="D1004" s="173"/>
      <c r="E1004" s="173"/>
      <c r="F1004" s="173"/>
      <c r="G1004" s="173"/>
      <c r="H1004" s="173"/>
      <c r="I1004" s="174"/>
      <c r="J1004" s="173"/>
      <c r="K1004" s="322" t="s">
        <v>87</v>
      </c>
      <c r="L1004" s="323"/>
      <c r="M1004" s="323"/>
      <c r="N1004" s="323"/>
      <c r="O1004" s="323"/>
      <c r="P1004" s="324"/>
      <c r="Q1004" s="175"/>
      <c r="R1004" s="175"/>
      <c r="S1004" s="175"/>
      <c r="T1004" s="175"/>
      <c r="U1004" s="175"/>
      <c r="V1004" s="175"/>
      <c r="W1004" s="175"/>
      <c r="X1004" s="175"/>
      <c r="Y1004" s="175"/>
      <c r="Z1004" s="175"/>
      <c r="AA1004" s="175"/>
      <c r="AB1004" s="175"/>
      <c r="AC1004" s="175"/>
      <c r="AD1004" s="175"/>
      <c r="AE1004" s="175"/>
      <c r="AF1004" s="175"/>
      <c r="AG1004" s="175"/>
      <c r="AH1004" s="175"/>
      <c r="AI1004" s="175"/>
      <c r="AJ1004" s="175"/>
      <c r="AK1004" s="175"/>
      <c r="AL1004" s="175"/>
      <c r="AM1004" s="175"/>
      <c r="AN1004" s="175"/>
      <c r="AO1004" s="175"/>
      <c r="AP1004" s="175"/>
      <c r="AQ1004" s="175"/>
      <c r="AR1004" s="175"/>
      <c r="AS1004" s="175"/>
      <c r="AT1004" s="175"/>
      <c r="AU1004" s="175"/>
      <c r="AV1004" s="175"/>
      <c r="AW1004" s="175"/>
      <c r="AX1004" s="175"/>
      <c r="AY1004" s="175"/>
      <c r="AZ1004" s="175"/>
      <c r="BA1004" s="175"/>
      <c r="BB1004" s="175"/>
      <c r="BC1004" s="175"/>
      <c r="BD1004" s="175"/>
      <c r="BE1004" s="175"/>
      <c r="BF1004" s="175"/>
      <c r="BG1004" s="175"/>
      <c r="BH1004" s="175"/>
      <c r="BI1004" s="175"/>
      <c r="BJ1004" s="175"/>
      <c r="BK1004" s="175"/>
      <c r="BL1004" s="175"/>
      <c r="BM1004" s="175"/>
      <c r="BN1004" s="175"/>
      <c r="BO1004" s="175"/>
      <c r="BP1004" s="175"/>
      <c r="BQ1004" s="175"/>
      <c r="BR1004" s="175"/>
      <c r="BS1004" s="175"/>
      <c r="BT1004" s="175"/>
      <c r="BU1004" s="175"/>
      <c r="BV1004" s="175"/>
      <c r="BW1004" s="175"/>
      <c r="BX1004" s="175"/>
      <c r="BY1004" s="175"/>
      <c r="BZ1004" s="175"/>
      <c r="CA1004" s="175"/>
      <c r="CB1004" s="175"/>
      <c r="CC1004" s="175"/>
      <c r="CD1004" s="175"/>
      <c r="CE1004" s="175"/>
      <c r="CF1004" s="175"/>
      <c r="CG1004" s="175"/>
      <c r="CH1004" s="175"/>
      <c r="CI1004" s="175"/>
      <c r="CJ1004" s="175"/>
      <c r="CK1004" s="175"/>
      <c r="CL1004" s="175"/>
      <c r="CM1004" s="175"/>
      <c r="CN1004" s="175"/>
      <c r="CO1004" s="175"/>
      <c r="CP1004" s="175"/>
      <c r="CQ1004" s="175"/>
      <c r="CR1004" s="175"/>
      <c r="CS1004" s="175"/>
      <c r="CT1004" s="175"/>
      <c r="CU1004" s="175"/>
      <c r="CV1004" s="175"/>
      <c r="CW1004" s="175"/>
      <c r="CX1004" s="175"/>
      <c r="CY1004" s="175"/>
      <c r="CZ1004" s="175"/>
      <c r="DA1004" s="175"/>
      <c r="DB1004" s="175"/>
      <c r="DC1004" s="175"/>
      <c r="DD1004" s="175"/>
      <c r="DE1004" s="175"/>
      <c r="DF1004" s="175"/>
      <c r="DG1004" s="175"/>
      <c r="DH1004" s="175"/>
      <c r="DI1004" s="175"/>
      <c r="DJ1004" s="175"/>
      <c r="DK1004" s="175"/>
      <c r="DL1004" s="175"/>
      <c r="DM1004" s="175"/>
      <c r="DN1004" s="175"/>
      <c r="DO1004" s="175"/>
      <c r="DP1004" s="175"/>
      <c r="DQ1004" s="175"/>
      <c r="DR1004" s="175"/>
      <c r="DS1004" s="175"/>
      <c r="DT1004" s="175"/>
      <c r="DU1004" s="175"/>
      <c r="DV1004" s="175"/>
      <c r="DW1004" s="175"/>
      <c r="DX1004" s="175"/>
      <c r="DY1004" s="175"/>
      <c r="DZ1004" s="175"/>
      <c r="EA1004" s="175"/>
      <c r="EB1004" s="175"/>
      <c r="EC1004" s="175"/>
      <c r="ED1004" s="175"/>
      <c r="EE1004" s="175"/>
      <c r="EF1004" s="175"/>
      <c r="EG1004" s="175"/>
      <c r="EH1004" s="175"/>
      <c r="EI1004" s="175"/>
      <c r="EJ1004" s="175"/>
      <c r="EK1004" s="175"/>
      <c r="EL1004" s="175"/>
      <c r="EM1004" s="175"/>
      <c r="EN1004" s="175"/>
      <c r="EO1004" s="175"/>
      <c r="EP1004" s="175"/>
      <c r="EQ1004" s="175"/>
      <c r="ER1004" s="175"/>
      <c r="ES1004" s="175"/>
      <c r="ET1004" s="175"/>
      <c r="EU1004" s="175"/>
      <c r="EV1004" s="175"/>
      <c r="EW1004" s="175"/>
      <c r="EX1004" s="175"/>
      <c r="EY1004" s="175"/>
      <c r="EZ1004" s="175"/>
      <c r="FA1004" s="175"/>
      <c r="FB1004" s="175"/>
      <c r="FC1004" s="175"/>
      <c r="FD1004" s="175"/>
      <c r="FE1004" s="175"/>
      <c r="FF1004" s="175"/>
      <c r="FG1004" s="175"/>
      <c r="FH1004" s="175"/>
      <c r="FI1004" s="175"/>
      <c r="FJ1004" s="175"/>
      <c r="FK1004" s="175"/>
      <c r="FL1004" s="175"/>
      <c r="FM1004" s="175"/>
      <c r="FN1004" s="175"/>
      <c r="FO1004" s="175"/>
      <c r="FP1004" s="175"/>
      <c r="FQ1004" s="175"/>
      <c r="FR1004" s="175"/>
      <c r="FS1004" s="175"/>
      <c r="FT1004" s="175"/>
      <c r="FU1004" s="175"/>
      <c r="FV1004" s="175"/>
      <c r="FW1004" s="175"/>
      <c r="FX1004" s="175"/>
      <c r="FY1004" s="175"/>
      <c r="FZ1004" s="175"/>
      <c r="GA1004" s="175"/>
      <c r="GB1004" s="175"/>
      <c r="GC1004" s="175"/>
      <c r="GD1004" s="175"/>
      <c r="GE1004" s="175"/>
      <c r="GF1004" s="175"/>
      <c r="GG1004" s="175"/>
      <c r="GH1004" s="175"/>
      <c r="GI1004" s="175"/>
      <c r="GJ1004" s="175"/>
      <c r="GK1004" s="175"/>
      <c r="GL1004" s="175"/>
      <c r="GM1004" s="175"/>
      <c r="GN1004" s="175"/>
      <c r="GO1004" s="175"/>
      <c r="GP1004" s="175"/>
      <c r="GQ1004" s="175"/>
      <c r="GR1004" s="175"/>
      <c r="GS1004" s="175"/>
      <c r="GT1004" s="175"/>
      <c r="GU1004" s="175"/>
      <c r="GV1004" s="175"/>
      <c r="GW1004" s="175"/>
      <c r="GX1004" s="175"/>
      <c r="GY1004" s="175"/>
      <c r="GZ1004" s="175"/>
      <c r="HA1004" s="175"/>
      <c r="HB1004" s="175"/>
      <c r="HC1004" s="175"/>
      <c r="HD1004" s="175"/>
      <c r="HE1004" s="175"/>
      <c r="HF1004" s="175"/>
      <c r="HG1004" s="175"/>
      <c r="HH1004" s="175"/>
      <c r="HI1004" s="175"/>
      <c r="HJ1004" s="175"/>
      <c r="HK1004" s="175"/>
      <c r="HL1004" s="175"/>
      <c r="HM1004" s="175"/>
      <c r="HN1004" s="175"/>
      <c r="HO1004" s="175"/>
      <c r="HP1004" s="175"/>
      <c r="HQ1004" s="175"/>
      <c r="HR1004" s="175"/>
      <c r="HS1004" s="175"/>
      <c r="HT1004" s="175"/>
      <c r="HU1004" s="175"/>
      <c r="HV1004" s="175"/>
      <c r="HW1004" s="175"/>
      <c r="HX1004" s="175"/>
      <c r="HY1004" s="175"/>
      <c r="HZ1004" s="175"/>
      <c r="IA1004" s="175"/>
      <c r="IB1004" s="175"/>
      <c r="IC1004" s="175"/>
      <c r="ID1004" s="175"/>
      <c r="IE1004" s="175"/>
      <c r="IF1004" s="175"/>
      <c r="IG1004" s="175"/>
      <c r="IH1004" s="175"/>
      <c r="II1004" s="175"/>
      <c r="IJ1004" s="175"/>
      <c r="IK1004" s="175"/>
      <c r="IL1004" s="175"/>
      <c r="IM1004" s="175"/>
      <c r="IN1004" s="175"/>
      <c r="IO1004" s="175"/>
      <c r="IP1004" s="175"/>
      <c r="IQ1004" s="175"/>
      <c r="IR1004" s="175"/>
      <c r="IS1004" s="175"/>
      <c r="IT1004" s="175"/>
      <c r="IU1004" s="175"/>
      <c r="IV1004" s="175"/>
      <c r="IW1004" s="175"/>
      <c r="IX1004" s="175"/>
      <c r="IY1004" s="175"/>
      <c r="IZ1004" s="175"/>
      <c r="JA1004" s="175"/>
      <c r="JB1004" s="175"/>
      <c r="JC1004" s="175"/>
      <c r="JD1004" s="175"/>
      <c r="JE1004" s="175"/>
      <c r="JF1004" s="175"/>
      <c r="JG1004" s="175"/>
      <c r="JH1004" s="175"/>
      <c r="JI1004" s="175"/>
      <c r="JJ1004" s="175"/>
      <c r="JK1004" s="175"/>
      <c r="JL1004" s="175"/>
      <c r="JM1004" s="175"/>
      <c r="JN1004" s="175"/>
      <c r="JO1004" s="175"/>
      <c r="JP1004" s="175"/>
      <c r="JQ1004" s="175"/>
      <c r="JR1004" s="175"/>
      <c r="JS1004" s="175"/>
      <c r="JT1004" s="175"/>
      <c r="JU1004" s="175"/>
      <c r="JV1004" s="175"/>
      <c r="JW1004" s="175"/>
      <c r="JX1004" s="175"/>
      <c r="JY1004" s="175"/>
      <c r="JZ1004" s="175"/>
      <c r="KA1004" s="175"/>
      <c r="KB1004" s="175"/>
      <c r="KC1004" s="175"/>
      <c r="KD1004" s="175"/>
      <c r="KE1004" s="175"/>
      <c r="KF1004" s="175"/>
      <c r="KG1004" s="175"/>
      <c r="KH1004" s="175"/>
      <c r="KI1004" s="175"/>
      <c r="KJ1004" s="175"/>
      <c r="KK1004" s="175"/>
      <c r="KL1004" s="175"/>
      <c r="KM1004" s="175"/>
      <c r="KN1004" s="175"/>
      <c r="KO1004" s="175"/>
      <c r="KP1004" s="175"/>
      <c r="KQ1004" s="175"/>
      <c r="KR1004" s="175"/>
      <c r="KS1004" s="175"/>
      <c r="KT1004" s="175"/>
      <c r="KU1004" s="175"/>
      <c r="KV1004" s="175"/>
      <c r="KW1004" s="175"/>
      <c r="KX1004" s="175"/>
      <c r="KY1004" s="175"/>
      <c r="KZ1004" s="175"/>
      <c r="LA1004" s="175"/>
      <c r="LB1004" s="175"/>
      <c r="LC1004" s="175"/>
      <c r="LD1004" s="175"/>
      <c r="LE1004" s="175"/>
      <c r="LF1004" s="175"/>
      <c r="LG1004" s="175"/>
      <c r="LH1004" s="175"/>
      <c r="LI1004" s="175"/>
      <c r="LJ1004" s="175"/>
      <c r="LK1004" s="175"/>
      <c r="LL1004" s="175"/>
      <c r="LM1004" s="175"/>
      <c r="LN1004" s="175"/>
      <c r="LO1004" s="175"/>
      <c r="LP1004" s="175"/>
      <c r="LQ1004" s="175"/>
      <c r="LR1004" s="175"/>
      <c r="LS1004" s="175"/>
      <c r="LT1004" s="175"/>
      <c r="LU1004" s="175"/>
      <c r="LV1004" s="175"/>
      <c r="LW1004" s="175"/>
      <c r="LX1004" s="175"/>
      <c r="LY1004" s="175"/>
      <c r="LZ1004" s="175"/>
      <c r="MA1004" s="175"/>
      <c r="MB1004" s="175"/>
      <c r="MC1004" s="175"/>
      <c r="MD1004" s="175"/>
      <c r="ME1004" s="175"/>
      <c r="MF1004" s="175"/>
      <c r="MG1004" s="175"/>
      <c r="MH1004" s="175"/>
      <c r="MI1004" s="175"/>
      <c r="MJ1004" s="175"/>
      <c r="MK1004" s="175"/>
      <c r="ML1004" s="175"/>
      <c r="MM1004" s="175"/>
      <c r="MN1004" s="175"/>
      <c r="MO1004" s="175"/>
      <c r="MP1004" s="175"/>
      <c r="MQ1004" s="175"/>
      <c r="MR1004" s="175"/>
      <c r="MS1004" s="175"/>
      <c r="MT1004" s="175"/>
      <c r="MU1004" s="175"/>
      <c r="MV1004" s="175"/>
      <c r="MW1004" s="175"/>
      <c r="MX1004" s="175"/>
      <c r="MY1004" s="175"/>
      <c r="MZ1004" s="175"/>
      <c r="NA1004" s="175"/>
      <c r="NB1004" s="175"/>
      <c r="NC1004" s="175"/>
      <c r="ND1004" s="175"/>
      <c r="NE1004" s="175"/>
      <c r="NF1004" s="175"/>
      <c r="NG1004" s="175"/>
      <c r="NH1004" s="175"/>
      <c r="NI1004" s="175"/>
      <c r="NJ1004" s="175"/>
      <c r="NK1004" s="175"/>
      <c r="NL1004" s="175"/>
      <c r="NM1004" s="175"/>
      <c r="NN1004" s="175"/>
      <c r="NO1004" s="175"/>
      <c r="NP1004" s="175"/>
      <c r="NQ1004" s="175"/>
      <c r="NR1004" s="175"/>
      <c r="NS1004" s="175"/>
      <c r="NT1004" s="175"/>
      <c r="NU1004" s="175"/>
      <c r="NV1004" s="175"/>
      <c r="NW1004" s="175"/>
      <c r="NX1004" s="175"/>
      <c r="NY1004" s="175"/>
      <c r="NZ1004" s="175"/>
      <c r="OA1004" s="175"/>
      <c r="OB1004" s="175"/>
      <c r="OC1004" s="175"/>
      <c r="OD1004" s="175"/>
      <c r="OE1004" s="175"/>
      <c r="OF1004" s="175"/>
      <c r="OG1004" s="175"/>
      <c r="OH1004" s="175"/>
      <c r="OI1004" s="175"/>
      <c r="OJ1004" s="175"/>
      <c r="OK1004" s="175"/>
      <c r="OL1004" s="175"/>
      <c r="OM1004" s="175"/>
      <c r="ON1004" s="175"/>
      <c r="OO1004" s="175"/>
      <c r="OP1004" s="175"/>
      <c r="OQ1004" s="175"/>
      <c r="OR1004" s="175"/>
    </row>
    <row r="1005" spans="1:408" s="176" customFormat="1" ht="15.75">
      <c r="A1005" s="320"/>
      <c r="B1005" s="321"/>
      <c r="C1005" s="321"/>
      <c r="D1005" s="177"/>
      <c r="E1005" s="173"/>
      <c r="F1005" s="173"/>
      <c r="G1005" s="178"/>
      <c r="H1005" s="178"/>
      <c r="I1005" s="174"/>
      <c r="J1005" s="178"/>
      <c r="K1005" s="328" t="s">
        <v>26</v>
      </c>
      <c r="L1005" s="329"/>
      <c r="M1005" s="330"/>
      <c r="N1005" s="179">
        <v>0.05</v>
      </c>
      <c r="O1005" s="179"/>
      <c r="P1005" s="180">
        <f>P1002*N1005</f>
        <v>2.2000000000000002E-2</v>
      </c>
      <c r="Q1005" s="175"/>
      <c r="R1005" s="175"/>
      <c r="S1005" s="175"/>
      <c r="T1005" s="175"/>
      <c r="U1005" s="175"/>
      <c r="V1005" s="175"/>
      <c r="W1005" s="175"/>
      <c r="X1005" s="175"/>
      <c r="Y1005" s="175"/>
      <c r="Z1005" s="175"/>
      <c r="AA1005" s="175"/>
      <c r="AB1005" s="175"/>
      <c r="AC1005" s="175"/>
      <c r="AD1005" s="175"/>
      <c r="AE1005" s="175"/>
      <c r="AF1005" s="175"/>
      <c r="AG1005" s="175"/>
      <c r="AH1005" s="175"/>
      <c r="AI1005" s="175"/>
      <c r="AJ1005" s="175"/>
      <c r="AK1005" s="175"/>
      <c r="AL1005" s="175"/>
      <c r="AM1005" s="175"/>
      <c r="AN1005" s="175"/>
      <c r="AO1005" s="175"/>
      <c r="AP1005" s="175"/>
      <c r="AQ1005" s="175"/>
      <c r="AR1005" s="175"/>
      <c r="AS1005" s="175"/>
      <c r="AT1005" s="175"/>
      <c r="AU1005" s="175"/>
      <c r="AV1005" s="175"/>
      <c r="AW1005" s="175"/>
      <c r="AX1005" s="175"/>
      <c r="AY1005" s="175"/>
      <c r="AZ1005" s="175"/>
      <c r="BA1005" s="175"/>
      <c r="BB1005" s="175"/>
      <c r="BC1005" s="175"/>
      <c r="BD1005" s="175"/>
      <c r="BE1005" s="175"/>
      <c r="BF1005" s="175"/>
      <c r="BG1005" s="175"/>
      <c r="BH1005" s="175"/>
      <c r="BI1005" s="175"/>
      <c r="BJ1005" s="175"/>
      <c r="BK1005" s="175"/>
      <c r="BL1005" s="175"/>
      <c r="BM1005" s="175"/>
      <c r="BN1005" s="175"/>
      <c r="BO1005" s="175"/>
      <c r="BP1005" s="175"/>
      <c r="BQ1005" s="175"/>
      <c r="BR1005" s="175"/>
      <c r="BS1005" s="175"/>
      <c r="BT1005" s="175"/>
      <c r="BU1005" s="175"/>
      <c r="BV1005" s="175"/>
      <c r="BW1005" s="175"/>
      <c r="BX1005" s="175"/>
      <c r="BY1005" s="175"/>
      <c r="BZ1005" s="175"/>
      <c r="CA1005" s="175"/>
      <c r="CB1005" s="175"/>
      <c r="CC1005" s="175"/>
      <c r="CD1005" s="175"/>
      <c r="CE1005" s="175"/>
      <c r="CF1005" s="175"/>
      <c r="CG1005" s="175"/>
      <c r="CH1005" s="175"/>
      <c r="CI1005" s="175"/>
      <c r="CJ1005" s="175"/>
      <c r="CK1005" s="175"/>
      <c r="CL1005" s="175"/>
      <c r="CM1005" s="175"/>
      <c r="CN1005" s="175"/>
      <c r="CO1005" s="175"/>
      <c r="CP1005" s="175"/>
      <c r="CQ1005" s="175"/>
      <c r="CR1005" s="175"/>
      <c r="CS1005" s="175"/>
      <c r="CT1005" s="175"/>
      <c r="CU1005" s="175"/>
      <c r="CV1005" s="175"/>
      <c r="CW1005" s="175"/>
      <c r="CX1005" s="175"/>
      <c r="CY1005" s="175"/>
      <c r="CZ1005" s="175"/>
      <c r="DA1005" s="175"/>
      <c r="DB1005" s="175"/>
      <c r="DC1005" s="175"/>
      <c r="DD1005" s="175"/>
      <c r="DE1005" s="175"/>
      <c r="DF1005" s="175"/>
      <c r="DG1005" s="175"/>
      <c r="DH1005" s="175"/>
      <c r="DI1005" s="175"/>
      <c r="DJ1005" s="175"/>
      <c r="DK1005" s="175"/>
      <c r="DL1005" s="175"/>
      <c r="DM1005" s="175"/>
      <c r="DN1005" s="175"/>
      <c r="DO1005" s="175"/>
      <c r="DP1005" s="175"/>
      <c r="DQ1005" s="175"/>
      <c r="DR1005" s="175"/>
      <c r="DS1005" s="175"/>
      <c r="DT1005" s="175"/>
      <c r="DU1005" s="175"/>
      <c r="DV1005" s="175"/>
      <c r="DW1005" s="175"/>
      <c r="DX1005" s="175"/>
      <c r="DY1005" s="175"/>
      <c r="DZ1005" s="175"/>
      <c r="EA1005" s="175"/>
      <c r="EB1005" s="175"/>
      <c r="EC1005" s="175"/>
      <c r="ED1005" s="175"/>
      <c r="EE1005" s="175"/>
      <c r="EF1005" s="175"/>
      <c r="EG1005" s="175"/>
      <c r="EH1005" s="175"/>
      <c r="EI1005" s="175"/>
      <c r="EJ1005" s="175"/>
      <c r="EK1005" s="175"/>
      <c r="EL1005" s="175"/>
      <c r="EM1005" s="175"/>
      <c r="EN1005" s="175"/>
      <c r="EO1005" s="175"/>
      <c r="EP1005" s="175"/>
      <c r="EQ1005" s="175"/>
      <c r="ER1005" s="175"/>
      <c r="ES1005" s="175"/>
      <c r="ET1005" s="175"/>
      <c r="EU1005" s="175"/>
      <c r="EV1005" s="175"/>
      <c r="EW1005" s="175"/>
      <c r="EX1005" s="175"/>
      <c r="EY1005" s="175"/>
      <c r="EZ1005" s="175"/>
      <c r="FA1005" s="175"/>
      <c r="FB1005" s="175"/>
      <c r="FC1005" s="175"/>
      <c r="FD1005" s="175"/>
      <c r="FE1005" s="175"/>
      <c r="FF1005" s="175"/>
      <c r="FG1005" s="175"/>
      <c r="FH1005" s="175"/>
      <c r="FI1005" s="175"/>
      <c r="FJ1005" s="175"/>
      <c r="FK1005" s="175"/>
      <c r="FL1005" s="175"/>
      <c r="FM1005" s="175"/>
      <c r="FN1005" s="175"/>
      <c r="FO1005" s="175"/>
      <c r="FP1005" s="175"/>
      <c r="FQ1005" s="175"/>
      <c r="FR1005" s="175"/>
      <c r="FS1005" s="175"/>
      <c r="FT1005" s="175"/>
      <c r="FU1005" s="175"/>
      <c r="FV1005" s="175"/>
      <c r="FW1005" s="175"/>
      <c r="FX1005" s="175"/>
      <c r="FY1005" s="175"/>
      <c r="FZ1005" s="175"/>
      <c r="GA1005" s="175"/>
      <c r="GB1005" s="175"/>
      <c r="GC1005" s="175"/>
      <c r="GD1005" s="175"/>
      <c r="GE1005" s="175"/>
      <c r="GF1005" s="175"/>
      <c r="GG1005" s="175"/>
      <c r="GH1005" s="175"/>
      <c r="GI1005" s="175"/>
      <c r="GJ1005" s="175"/>
      <c r="GK1005" s="175"/>
      <c r="GL1005" s="175"/>
      <c r="GM1005" s="175"/>
      <c r="GN1005" s="175"/>
      <c r="GO1005" s="175"/>
      <c r="GP1005" s="175"/>
      <c r="GQ1005" s="175"/>
      <c r="GR1005" s="175"/>
      <c r="GS1005" s="175"/>
      <c r="GT1005" s="175"/>
      <c r="GU1005" s="175"/>
      <c r="GV1005" s="175"/>
      <c r="GW1005" s="175"/>
      <c r="GX1005" s="175"/>
      <c r="GY1005" s="175"/>
      <c r="GZ1005" s="175"/>
      <c r="HA1005" s="175"/>
      <c r="HB1005" s="175"/>
      <c r="HC1005" s="175"/>
      <c r="HD1005" s="175"/>
      <c r="HE1005" s="175"/>
      <c r="HF1005" s="175"/>
      <c r="HG1005" s="175"/>
      <c r="HH1005" s="175"/>
      <c r="HI1005" s="175"/>
      <c r="HJ1005" s="175"/>
      <c r="HK1005" s="175"/>
      <c r="HL1005" s="175"/>
      <c r="HM1005" s="175"/>
      <c r="HN1005" s="175"/>
      <c r="HO1005" s="175"/>
      <c r="HP1005" s="175"/>
      <c r="HQ1005" s="175"/>
      <c r="HR1005" s="175"/>
      <c r="HS1005" s="175"/>
      <c r="HT1005" s="175"/>
      <c r="HU1005" s="175"/>
      <c r="HV1005" s="175"/>
      <c r="HW1005" s="175"/>
      <c r="HX1005" s="175"/>
      <c r="HY1005" s="175"/>
      <c r="HZ1005" s="175"/>
      <c r="IA1005" s="175"/>
      <c r="IB1005" s="175"/>
      <c r="IC1005" s="175"/>
      <c r="ID1005" s="175"/>
      <c r="IE1005" s="175"/>
      <c r="IF1005" s="175"/>
      <c r="IG1005" s="175"/>
      <c r="IH1005" s="175"/>
      <c r="II1005" s="175"/>
      <c r="IJ1005" s="175"/>
      <c r="IK1005" s="175"/>
      <c r="IL1005" s="175"/>
      <c r="IM1005" s="175"/>
      <c r="IN1005" s="175"/>
      <c r="IO1005" s="175"/>
      <c r="IP1005" s="175"/>
      <c r="IQ1005" s="175"/>
      <c r="IR1005" s="175"/>
      <c r="IS1005" s="175"/>
      <c r="IT1005" s="175"/>
      <c r="IU1005" s="175"/>
      <c r="IV1005" s="175"/>
      <c r="IW1005" s="175"/>
      <c r="IX1005" s="175"/>
      <c r="IY1005" s="175"/>
      <c r="IZ1005" s="175"/>
      <c r="JA1005" s="175"/>
      <c r="JB1005" s="175"/>
      <c r="JC1005" s="175"/>
      <c r="JD1005" s="175"/>
      <c r="JE1005" s="175"/>
      <c r="JF1005" s="175"/>
      <c r="JG1005" s="175"/>
      <c r="JH1005" s="175"/>
      <c r="JI1005" s="175"/>
      <c r="JJ1005" s="175"/>
      <c r="JK1005" s="175"/>
      <c r="JL1005" s="175"/>
      <c r="JM1005" s="175"/>
      <c r="JN1005" s="175"/>
      <c r="JO1005" s="175"/>
      <c r="JP1005" s="175"/>
      <c r="JQ1005" s="175"/>
      <c r="JR1005" s="175"/>
      <c r="JS1005" s="175"/>
      <c r="JT1005" s="175"/>
      <c r="JU1005" s="175"/>
      <c r="JV1005" s="175"/>
      <c r="JW1005" s="175"/>
      <c r="JX1005" s="175"/>
      <c r="JY1005" s="175"/>
      <c r="JZ1005" s="175"/>
      <c r="KA1005" s="175"/>
      <c r="KB1005" s="175"/>
      <c r="KC1005" s="175"/>
      <c r="KD1005" s="175"/>
      <c r="KE1005" s="175"/>
      <c r="KF1005" s="175"/>
      <c r="KG1005" s="175"/>
      <c r="KH1005" s="175"/>
      <c r="KI1005" s="175"/>
      <c r="KJ1005" s="175"/>
      <c r="KK1005" s="175"/>
      <c r="KL1005" s="175"/>
      <c r="KM1005" s="175"/>
      <c r="KN1005" s="175"/>
      <c r="KO1005" s="175"/>
      <c r="KP1005" s="175"/>
      <c r="KQ1005" s="175"/>
      <c r="KR1005" s="175"/>
      <c r="KS1005" s="175"/>
      <c r="KT1005" s="175"/>
      <c r="KU1005" s="175"/>
      <c r="KV1005" s="175"/>
      <c r="KW1005" s="175"/>
      <c r="KX1005" s="175"/>
      <c r="KY1005" s="175"/>
      <c r="KZ1005" s="175"/>
      <c r="LA1005" s="175"/>
      <c r="LB1005" s="175"/>
      <c r="LC1005" s="175"/>
      <c r="LD1005" s="175"/>
      <c r="LE1005" s="175"/>
      <c r="LF1005" s="175"/>
      <c r="LG1005" s="175"/>
      <c r="LH1005" s="175"/>
      <c r="LI1005" s="175"/>
      <c r="LJ1005" s="175"/>
      <c r="LK1005" s="175"/>
      <c r="LL1005" s="175"/>
      <c r="LM1005" s="175"/>
      <c r="LN1005" s="175"/>
      <c r="LO1005" s="175"/>
      <c r="LP1005" s="175"/>
      <c r="LQ1005" s="175"/>
      <c r="LR1005" s="175"/>
      <c r="LS1005" s="175"/>
      <c r="LT1005" s="175"/>
      <c r="LU1005" s="175"/>
      <c r="LV1005" s="175"/>
      <c r="LW1005" s="175"/>
      <c r="LX1005" s="175"/>
      <c r="LY1005" s="175"/>
      <c r="LZ1005" s="175"/>
      <c r="MA1005" s="175"/>
      <c r="MB1005" s="175"/>
      <c r="MC1005" s="175"/>
      <c r="MD1005" s="175"/>
      <c r="ME1005" s="175"/>
      <c r="MF1005" s="175"/>
      <c r="MG1005" s="175"/>
      <c r="MH1005" s="175"/>
      <c r="MI1005" s="175"/>
      <c r="MJ1005" s="175"/>
      <c r="MK1005" s="175"/>
      <c r="ML1005" s="175"/>
      <c r="MM1005" s="175"/>
      <c r="MN1005" s="175"/>
      <c r="MO1005" s="175"/>
      <c r="MP1005" s="175"/>
      <c r="MQ1005" s="175"/>
      <c r="MR1005" s="175"/>
      <c r="MS1005" s="175"/>
      <c r="MT1005" s="175"/>
      <c r="MU1005" s="175"/>
      <c r="MV1005" s="175"/>
      <c r="MW1005" s="175"/>
      <c r="MX1005" s="175"/>
      <c r="MY1005" s="175"/>
      <c r="MZ1005" s="175"/>
      <c r="NA1005" s="175"/>
      <c r="NB1005" s="175"/>
      <c r="NC1005" s="175"/>
      <c r="ND1005" s="175"/>
      <c r="NE1005" s="175"/>
      <c r="NF1005" s="175"/>
      <c r="NG1005" s="175"/>
      <c r="NH1005" s="175"/>
      <c r="NI1005" s="175"/>
      <c r="NJ1005" s="175"/>
      <c r="NK1005" s="175"/>
      <c r="NL1005" s="175"/>
      <c r="NM1005" s="175"/>
      <c r="NN1005" s="175"/>
      <c r="NO1005" s="175"/>
      <c r="NP1005" s="175"/>
      <c r="NQ1005" s="175"/>
      <c r="NR1005" s="175"/>
      <c r="NS1005" s="175"/>
      <c r="NT1005" s="175"/>
      <c r="NU1005" s="175"/>
      <c r="NV1005" s="175"/>
      <c r="NW1005" s="175"/>
      <c r="NX1005" s="175"/>
      <c r="NY1005" s="175"/>
      <c r="NZ1005" s="175"/>
      <c r="OA1005" s="175"/>
      <c r="OB1005" s="175"/>
      <c r="OC1005" s="175"/>
      <c r="OD1005" s="175"/>
      <c r="OE1005" s="175"/>
      <c r="OF1005" s="175"/>
      <c r="OG1005" s="175"/>
      <c r="OH1005" s="175"/>
      <c r="OI1005" s="175"/>
      <c r="OJ1005" s="175"/>
      <c r="OK1005" s="175"/>
      <c r="OL1005" s="175"/>
      <c r="OM1005" s="175"/>
      <c r="ON1005" s="175"/>
      <c r="OO1005" s="175"/>
      <c r="OP1005" s="175"/>
      <c r="OQ1005" s="175"/>
      <c r="OR1005" s="175"/>
    </row>
    <row r="1006" spans="1:408" s="176" customFormat="1" ht="15.75">
      <c r="A1006" s="181"/>
      <c r="B1006" s="182"/>
      <c r="C1006" s="173"/>
      <c r="E1006" s="173"/>
      <c r="F1006" s="173"/>
      <c r="G1006" s="178"/>
      <c r="H1006" s="178"/>
      <c r="I1006" s="174"/>
      <c r="J1006" s="178"/>
      <c r="K1006" s="328" t="s">
        <v>16</v>
      </c>
      <c r="L1006" s="329"/>
      <c r="M1006" s="330"/>
      <c r="N1006" s="179">
        <v>0.15</v>
      </c>
      <c r="O1006" s="179"/>
      <c r="P1006" s="180">
        <f>P1002*N1006</f>
        <v>6.6000000000000003E-2</v>
      </c>
      <c r="Q1006" s="175"/>
      <c r="R1006" s="175"/>
      <c r="S1006" s="175"/>
      <c r="T1006" s="175"/>
      <c r="U1006" s="175"/>
      <c r="V1006" s="175"/>
      <c r="W1006" s="175"/>
      <c r="X1006" s="175"/>
      <c r="Y1006" s="175"/>
      <c r="Z1006" s="175"/>
      <c r="AA1006" s="175"/>
      <c r="AB1006" s="175"/>
      <c r="AC1006" s="175"/>
      <c r="AD1006" s="175"/>
      <c r="AE1006" s="175"/>
      <c r="AF1006" s="175"/>
      <c r="AG1006" s="175"/>
      <c r="AH1006" s="175"/>
      <c r="AI1006" s="175"/>
      <c r="AJ1006" s="175"/>
      <c r="AK1006" s="175"/>
      <c r="AL1006" s="175"/>
      <c r="AM1006" s="175"/>
      <c r="AN1006" s="175"/>
      <c r="AO1006" s="175"/>
      <c r="AP1006" s="175"/>
      <c r="AQ1006" s="175"/>
      <c r="AR1006" s="175"/>
      <c r="AS1006" s="175"/>
      <c r="AT1006" s="175"/>
      <c r="AU1006" s="175"/>
      <c r="AV1006" s="175"/>
      <c r="AW1006" s="175"/>
      <c r="AX1006" s="175"/>
      <c r="AY1006" s="175"/>
      <c r="AZ1006" s="175"/>
      <c r="BA1006" s="175"/>
      <c r="BB1006" s="175"/>
      <c r="BC1006" s="175"/>
      <c r="BD1006" s="175"/>
      <c r="BE1006" s="175"/>
      <c r="BF1006" s="175"/>
      <c r="BG1006" s="175"/>
      <c r="BH1006" s="175"/>
      <c r="BI1006" s="175"/>
      <c r="BJ1006" s="175"/>
      <c r="BK1006" s="175"/>
      <c r="BL1006" s="175"/>
      <c r="BM1006" s="175"/>
      <c r="BN1006" s="175"/>
      <c r="BO1006" s="175"/>
      <c r="BP1006" s="175"/>
      <c r="BQ1006" s="175"/>
      <c r="BR1006" s="175"/>
      <c r="BS1006" s="175"/>
      <c r="BT1006" s="175"/>
      <c r="BU1006" s="175"/>
      <c r="BV1006" s="175"/>
      <c r="BW1006" s="175"/>
      <c r="BX1006" s="175"/>
      <c r="BY1006" s="175"/>
      <c r="BZ1006" s="175"/>
      <c r="CA1006" s="175"/>
      <c r="CB1006" s="175"/>
      <c r="CC1006" s="175"/>
      <c r="CD1006" s="175"/>
      <c r="CE1006" s="175"/>
      <c r="CF1006" s="175"/>
      <c r="CG1006" s="175"/>
      <c r="CH1006" s="175"/>
      <c r="CI1006" s="175"/>
      <c r="CJ1006" s="175"/>
      <c r="CK1006" s="175"/>
      <c r="CL1006" s="175"/>
      <c r="CM1006" s="175"/>
      <c r="CN1006" s="175"/>
      <c r="CO1006" s="175"/>
      <c r="CP1006" s="175"/>
      <c r="CQ1006" s="175"/>
      <c r="CR1006" s="175"/>
      <c r="CS1006" s="175"/>
      <c r="CT1006" s="175"/>
      <c r="CU1006" s="175"/>
      <c r="CV1006" s="175"/>
      <c r="CW1006" s="175"/>
      <c r="CX1006" s="175"/>
      <c r="CY1006" s="175"/>
      <c r="CZ1006" s="175"/>
      <c r="DA1006" s="175"/>
      <c r="DB1006" s="175"/>
      <c r="DC1006" s="175"/>
      <c r="DD1006" s="175"/>
      <c r="DE1006" s="175"/>
      <c r="DF1006" s="175"/>
      <c r="DG1006" s="175"/>
      <c r="DH1006" s="175"/>
      <c r="DI1006" s="175"/>
      <c r="DJ1006" s="175"/>
      <c r="DK1006" s="175"/>
      <c r="DL1006" s="175"/>
      <c r="DM1006" s="175"/>
      <c r="DN1006" s="175"/>
      <c r="DO1006" s="175"/>
      <c r="DP1006" s="175"/>
      <c r="DQ1006" s="175"/>
      <c r="DR1006" s="175"/>
      <c r="DS1006" s="175"/>
      <c r="DT1006" s="175"/>
      <c r="DU1006" s="175"/>
      <c r="DV1006" s="175"/>
      <c r="DW1006" s="175"/>
      <c r="DX1006" s="175"/>
      <c r="DY1006" s="175"/>
      <c r="DZ1006" s="175"/>
      <c r="EA1006" s="175"/>
      <c r="EB1006" s="175"/>
      <c r="EC1006" s="175"/>
      <c r="ED1006" s="175"/>
      <c r="EE1006" s="175"/>
      <c r="EF1006" s="175"/>
      <c r="EG1006" s="175"/>
      <c r="EH1006" s="175"/>
      <c r="EI1006" s="175"/>
      <c r="EJ1006" s="175"/>
      <c r="EK1006" s="175"/>
      <c r="EL1006" s="175"/>
      <c r="EM1006" s="175"/>
      <c r="EN1006" s="175"/>
      <c r="EO1006" s="175"/>
      <c r="EP1006" s="175"/>
      <c r="EQ1006" s="175"/>
      <c r="ER1006" s="175"/>
      <c r="ES1006" s="175"/>
      <c r="ET1006" s="175"/>
      <c r="EU1006" s="175"/>
      <c r="EV1006" s="175"/>
      <c r="EW1006" s="175"/>
      <c r="EX1006" s="175"/>
      <c r="EY1006" s="175"/>
      <c r="EZ1006" s="175"/>
      <c r="FA1006" s="175"/>
      <c r="FB1006" s="175"/>
      <c r="FC1006" s="175"/>
      <c r="FD1006" s="175"/>
      <c r="FE1006" s="175"/>
      <c r="FF1006" s="175"/>
      <c r="FG1006" s="175"/>
      <c r="FH1006" s="175"/>
      <c r="FI1006" s="175"/>
      <c r="FJ1006" s="175"/>
      <c r="FK1006" s="175"/>
      <c r="FL1006" s="175"/>
      <c r="FM1006" s="175"/>
      <c r="FN1006" s="175"/>
      <c r="FO1006" s="175"/>
      <c r="FP1006" s="175"/>
      <c r="FQ1006" s="175"/>
      <c r="FR1006" s="175"/>
      <c r="FS1006" s="175"/>
      <c r="FT1006" s="175"/>
      <c r="FU1006" s="175"/>
      <c r="FV1006" s="175"/>
      <c r="FW1006" s="175"/>
      <c r="FX1006" s="175"/>
      <c r="FY1006" s="175"/>
      <c r="FZ1006" s="175"/>
      <c r="GA1006" s="175"/>
      <c r="GB1006" s="175"/>
      <c r="GC1006" s="175"/>
      <c r="GD1006" s="175"/>
      <c r="GE1006" s="175"/>
      <c r="GF1006" s="175"/>
      <c r="GG1006" s="175"/>
      <c r="GH1006" s="175"/>
      <c r="GI1006" s="175"/>
      <c r="GJ1006" s="175"/>
      <c r="GK1006" s="175"/>
      <c r="GL1006" s="175"/>
      <c r="GM1006" s="175"/>
      <c r="GN1006" s="175"/>
      <c r="GO1006" s="175"/>
      <c r="GP1006" s="175"/>
      <c r="GQ1006" s="175"/>
      <c r="GR1006" s="175"/>
      <c r="GS1006" s="175"/>
      <c r="GT1006" s="175"/>
      <c r="GU1006" s="175"/>
      <c r="GV1006" s="175"/>
      <c r="GW1006" s="175"/>
      <c r="GX1006" s="175"/>
      <c r="GY1006" s="175"/>
      <c r="GZ1006" s="175"/>
      <c r="HA1006" s="175"/>
      <c r="HB1006" s="175"/>
      <c r="HC1006" s="175"/>
      <c r="HD1006" s="175"/>
      <c r="HE1006" s="175"/>
      <c r="HF1006" s="175"/>
      <c r="HG1006" s="175"/>
      <c r="HH1006" s="175"/>
      <c r="HI1006" s="175"/>
      <c r="HJ1006" s="175"/>
      <c r="HK1006" s="175"/>
      <c r="HL1006" s="175"/>
      <c r="HM1006" s="175"/>
      <c r="HN1006" s="175"/>
      <c r="HO1006" s="175"/>
      <c r="HP1006" s="175"/>
      <c r="HQ1006" s="175"/>
      <c r="HR1006" s="175"/>
      <c r="HS1006" s="175"/>
      <c r="HT1006" s="175"/>
      <c r="HU1006" s="175"/>
      <c r="HV1006" s="175"/>
      <c r="HW1006" s="175"/>
      <c r="HX1006" s="175"/>
      <c r="HY1006" s="175"/>
      <c r="HZ1006" s="175"/>
      <c r="IA1006" s="175"/>
      <c r="IB1006" s="175"/>
      <c r="IC1006" s="175"/>
      <c r="ID1006" s="175"/>
      <c r="IE1006" s="175"/>
      <c r="IF1006" s="175"/>
      <c r="IG1006" s="175"/>
      <c r="IH1006" s="175"/>
      <c r="II1006" s="175"/>
      <c r="IJ1006" s="175"/>
      <c r="IK1006" s="175"/>
      <c r="IL1006" s="175"/>
      <c r="IM1006" s="175"/>
      <c r="IN1006" s="175"/>
      <c r="IO1006" s="175"/>
      <c r="IP1006" s="175"/>
      <c r="IQ1006" s="175"/>
      <c r="IR1006" s="175"/>
      <c r="IS1006" s="175"/>
      <c r="IT1006" s="175"/>
      <c r="IU1006" s="175"/>
      <c r="IV1006" s="175"/>
      <c r="IW1006" s="175"/>
      <c r="IX1006" s="175"/>
      <c r="IY1006" s="175"/>
      <c r="IZ1006" s="175"/>
      <c r="JA1006" s="175"/>
      <c r="JB1006" s="175"/>
      <c r="JC1006" s="175"/>
      <c r="JD1006" s="175"/>
      <c r="JE1006" s="175"/>
      <c r="JF1006" s="175"/>
      <c r="JG1006" s="175"/>
      <c r="JH1006" s="175"/>
      <c r="JI1006" s="175"/>
      <c r="JJ1006" s="175"/>
      <c r="JK1006" s="175"/>
      <c r="JL1006" s="175"/>
      <c r="JM1006" s="175"/>
      <c r="JN1006" s="175"/>
      <c r="JO1006" s="175"/>
      <c r="JP1006" s="175"/>
      <c r="JQ1006" s="175"/>
      <c r="JR1006" s="175"/>
      <c r="JS1006" s="175"/>
      <c r="JT1006" s="175"/>
      <c r="JU1006" s="175"/>
      <c r="JV1006" s="175"/>
      <c r="JW1006" s="175"/>
      <c r="JX1006" s="175"/>
      <c r="JY1006" s="175"/>
      <c r="JZ1006" s="175"/>
      <c r="KA1006" s="175"/>
      <c r="KB1006" s="175"/>
      <c r="KC1006" s="175"/>
      <c r="KD1006" s="175"/>
      <c r="KE1006" s="175"/>
      <c r="KF1006" s="175"/>
      <c r="KG1006" s="175"/>
      <c r="KH1006" s="175"/>
      <c r="KI1006" s="175"/>
      <c r="KJ1006" s="175"/>
      <c r="KK1006" s="175"/>
      <c r="KL1006" s="175"/>
      <c r="KM1006" s="175"/>
      <c r="KN1006" s="175"/>
      <c r="KO1006" s="175"/>
      <c r="KP1006" s="175"/>
      <c r="KQ1006" s="175"/>
      <c r="KR1006" s="175"/>
      <c r="KS1006" s="175"/>
      <c r="KT1006" s="175"/>
      <c r="KU1006" s="175"/>
      <c r="KV1006" s="175"/>
      <c r="KW1006" s="175"/>
      <c r="KX1006" s="175"/>
      <c r="KY1006" s="175"/>
      <c r="KZ1006" s="175"/>
      <c r="LA1006" s="175"/>
      <c r="LB1006" s="175"/>
      <c r="LC1006" s="175"/>
      <c r="LD1006" s="175"/>
      <c r="LE1006" s="175"/>
      <c r="LF1006" s="175"/>
      <c r="LG1006" s="175"/>
      <c r="LH1006" s="175"/>
      <c r="LI1006" s="175"/>
      <c r="LJ1006" s="175"/>
      <c r="LK1006" s="175"/>
      <c r="LL1006" s="175"/>
      <c r="LM1006" s="175"/>
      <c r="LN1006" s="175"/>
      <c r="LO1006" s="175"/>
      <c r="LP1006" s="175"/>
      <c r="LQ1006" s="175"/>
      <c r="LR1006" s="175"/>
      <c r="LS1006" s="175"/>
      <c r="LT1006" s="175"/>
      <c r="LU1006" s="175"/>
      <c r="LV1006" s="175"/>
      <c r="LW1006" s="175"/>
      <c r="LX1006" s="175"/>
      <c r="LY1006" s="175"/>
      <c r="LZ1006" s="175"/>
      <c r="MA1006" s="175"/>
      <c r="MB1006" s="175"/>
      <c r="MC1006" s="175"/>
      <c r="MD1006" s="175"/>
      <c r="ME1006" s="175"/>
      <c r="MF1006" s="175"/>
      <c r="MG1006" s="175"/>
      <c r="MH1006" s="175"/>
      <c r="MI1006" s="175"/>
      <c r="MJ1006" s="175"/>
      <c r="MK1006" s="175"/>
      <c r="ML1006" s="175"/>
      <c r="MM1006" s="175"/>
      <c r="MN1006" s="175"/>
      <c r="MO1006" s="175"/>
      <c r="MP1006" s="175"/>
      <c r="MQ1006" s="175"/>
      <c r="MR1006" s="175"/>
      <c r="MS1006" s="175"/>
      <c r="MT1006" s="175"/>
      <c r="MU1006" s="175"/>
      <c r="MV1006" s="175"/>
      <c r="MW1006" s="175"/>
      <c r="MX1006" s="175"/>
      <c r="MY1006" s="175"/>
      <c r="MZ1006" s="175"/>
      <c r="NA1006" s="175"/>
      <c r="NB1006" s="175"/>
      <c r="NC1006" s="175"/>
      <c r="ND1006" s="175"/>
      <c r="NE1006" s="175"/>
      <c r="NF1006" s="175"/>
      <c r="NG1006" s="175"/>
      <c r="NH1006" s="175"/>
      <c r="NI1006" s="175"/>
      <c r="NJ1006" s="175"/>
      <c r="NK1006" s="175"/>
      <c r="NL1006" s="175"/>
      <c r="NM1006" s="175"/>
      <c r="NN1006" s="175"/>
      <c r="NO1006" s="175"/>
      <c r="NP1006" s="175"/>
      <c r="NQ1006" s="175"/>
      <c r="NR1006" s="175"/>
      <c r="NS1006" s="175"/>
      <c r="NT1006" s="175"/>
      <c r="NU1006" s="175"/>
      <c r="NV1006" s="175"/>
      <c r="NW1006" s="175"/>
      <c r="NX1006" s="175"/>
      <c r="NY1006" s="175"/>
      <c r="NZ1006" s="175"/>
      <c r="OA1006" s="175"/>
      <c r="OB1006" s="175"/>
      <c r="OC1006" s="175"/>
      <c r="OD1006" s="175"/>
      <c r="OE1006" s="175"/>
      <c r="OF1006" s="175"/>
      <c r="OG1006" s="175"/>
      <c r="OH1006" s="175"/>
      <c r="OI1006" s="175"/>
      <c r="OJ1006" s="175"/>
      <c r="OK1006" s="175"/>
      <c r="OL1006" s="175"/>
      <c r="OM1006" s="175"/>
      <c r="ON1006" s="175"/>
      <c r="OO1006" s="175"/>
      <c r="OP1006" s="175"/>
      <c r="OQ1006" s="175"/>
      <c r="OR1006" s="175"/>
    </row>
    <row r="1007" spans="1:408" s="176" customFormat="1" ht="15.75">
      <c r="A1007" s="181"/>
      <c r="B1007" s="182"/>
      <c r="C1007" s="173"/>
      <c r="E1007" s="173"/>
      <c r="F1007" s="173"/>
      <c r="G1007" s="178"/>
      <c r="H1007" s="178"/>
      <c r="I1007" s="174"/>
      <c r="J1007" s="178"/>
      <c r="K1007" s="328" t="s">
        <v>17</v>
      </c>
      <c r="L1007" s="329"/>
      <c r="M1007" s="330"/>
      <c r="N1007" s="179">
        <v>0</v>
      </c>
      <c r="O1007" s="179"/>
      <c r="P1007" s="180">
        <f>P1002*N1007</f>
        <v>0</v>
      </c>
      <c r="Q1007" s="175"/>
      <c r="R1007" s="175"/>
      <c r="S1007" s="175"/>
      <c r="T1007" s="175"/>
      <c r="U1007" s="175"/>
      <c r="V1007" s="175"/>
      <c r="W1007" s="175"/>
      <c r="X1007" s="175"/>
      <c r="Y1007" s="175"/>
      <c r="Z1007" s="175"/>
      <c r="AA1007" s="175"/>
      <c r="AB1007" s="175"/>
      <c r="AC1007" s="175"/>
      <c r="AD1007" s="175"/>
      <c r="AE1007" s="175"/>
      <c r="AF1007" s="175"/>
      <c r="AG1007" s="175"/>
      <c r="AH1007" s="175"/>
      <c r="AI1007" s="175"/>
      <c r="AJ1007" s="175"/>
      <c r="AK1007" s="175"/>
      <c r="AL1007" s="175"/>
      <c r="AM1007" s="175"/>
      <c r="AN1007" s="175"/>
      <c r="AO1007" s="175"/>
      <c r="AP1007" s="175"/>
      <c r="AQ1007" s="175"/>
      <c r="AR1007" s="175"/>
      <c r="AS1007" s="175"/>
      <c r="AT1007" s="175"/>
      <c r="AU1007" s="175"/>
      <c r="AV1007" s="175"/>
      <c r="AW1007" s="175"/>
      <c r="AX1007" s="175"/>
      <c r="AY1007" s="175"/>
      <c r="AZ1007" s="175"/>
      <c r="BA1007" s="175"/>
      <c r="BB1007" s="175"/>
      <c r="BC1007" s="175"/>
      <c r="BD1007" s="175"/>
      <c r="BE1007" s="175"/>
      <c r="BF1007" s="175"/>
      <c r="BG1007" s="175"/>
      <c r="BH1007" s="175"/>
      <c r="BI1007" s="175"/>
      <c r="BJ1007" s="175"/>
      <c r="BK1007" s="175"/>
      <c r="BL1007" s="175"/>
      <c r="BM1007" s="175"/>
      <c r="BN1007" s="175"/>
      <c r="BO1007" s="175"/>
      <c r="BP1007" s="175"/>
      <c r="BQ1007" s="175"/>
      <c r="BR1007" s="175"/>
      <c r="BS1007" s="175"/>
      <c r="BT1007" s="175"/>
      <c r="BU1007" s="175"/>
      <c r="BV1007" s="175"/>
      <c r="BW1007" s="175"/>
      <c r="BX1007" s="175"/>
      <c r="BY1007" s="175"/>
      <c r="BZ1007" s="175"/>
      <c r="CA1007" s="175"/>
      <c r="CB1007" s="175"/>
      <c r="CC1007" s="175"/>
      <c r="CD1007" s="175"/>
      <c r="CE1007" s="175"/>
      <c r="CF1007" s="175"/>
      <c r="CG1007" s="175"/>
      <c r="CH1007" s="175"/>
      <c r="CI1007" s="175"/>
      <c r="CJ1007" s="175"/>
      <c r="CK1007" s="175"/>
      <c r="CL1007" s="175"/>
      <c r="CM1007" s="175"/>
      <c r="CN1007" s="175"/>
      <c r="CO1007" s="175"/>
      <c r="CP1007" s="175"/>
      <c r="CQ1007" s="175"/>
      <c r="CR1007" s="175"/>
      <c r="CS1007" s="175"/>
      <c r="CT1007" s="175"/>
      <c r="CU1007" s="175"/>
      <c r="CV1007" s="175"/>
      <c r="CW1007" s="175"/>
      <c r="CX1007" s="175"/>
      <c r="CY1007" s="175"/>
      <c r="CZ1007" s="175"/>
      <c r="DA1007" s="175"/>
      <c r="DB1007" s="175"/>
      <c r="DC1007" s="175"/>
      <c r="DD1007" s="175"/>
      <c r="DE1007" s="175"/>
      <c r="DF1007" s="175"/>
      <c r="DG1007" s="175"/>
      <c r="DH1007" s="175"/>
      <c r="DI1007" s="175"/>
      <c r="DJ1007" s="175"/>
      <c r="DK1007" s="175"/>
      <c r="DL1007" s="175"/>
      <c r="DM1007" s="175"/>
      <c r="DN1007" s="175"/>
      <c r="DO1007" s="175"/>
      <c r="DP1007" s="175"/>
      <c r="DQ1007" s="175"/>
      <c r="DR1007" s="175"/>
      <c r="DS1007" s="175"/>
      <c r="DT1007" s="175"/>
      <c r="DU1007" s="175"/>
      <c r="DV1007" s="175"/>
      <c r="DW1007" s="175"/>
      <c r="DX1007" s="175"/>
      <c r="DY1007" s="175"/>
      <c r="DZ1007" s="175"/>
      <c r="EA1007" s="175"/>
      <c r="EB1007" s="175"/>
      <c r="EC1007" s="175"/>
      <c r="ED1007" s="175"/>
      <c r="EE1007" s="175"/>
      <c r="EF1007" s="175"/>
      <c r="EG1007" s="175"/>
      <c r="EH1007" s="175"/>
      <c r="EI1007" s="175"/>
      <c r="EJ1007" s="175"/>
      <c r="EK1007" s="175"/>
      <c r="EL1007" s="175"/>
      <c r="EM1007" s="175"/>
      <c r="EN1007" s="175"/>
      <c r="EO1007" s="175"/>
      <c r="EP1007" s="175"/>
      <c r="EQ1007" s="175"/>
      <c r="ER1007" s="175"/>
      <c r="ES1007" s="175"/>
      <c r="ET1007" s="175"/>
      <c r="EU1007" s="175"/>
      <c r="EV1007" s="175"/>
      <c r="EW1007" s="175"/>
      <c r="EX1007" s="175"/>
      <c r="EY1007" s="175"/>
      <c r="EZ1007" s="175"/>
      <c r="FA1007" s="175"/>
      <c r="FB1007" s="175"/>
      <c r="FC1007" s="175"/>
      <c r="FD1007" s="175"/>
      <c r="FE1007" s="175"/>
      <c r="FF1007" s="175"/>
      <c r="FG1007" s="175"/>
      <c r="FH1007" s="175"/>
      <c r="FI1007" s="175"/>
      <c r="FJ1007" s="175"/>
      <c r="FK1007" s="175"/>
      <c r="FL1007" s="175"/>
      <c r="FM1007" s="175"/>
      <c r="FN1007" s="175"/>
      <c r="FO1007" s="175"/>
      <c r="FP1007" s="175"/>
      <c r="FQ1007" s="175"/>
      <c r="FR1007" s="175"/>
      <c r="FS1007" s="175"/>
      <c r="FT1007" s="175"/>
      <c r="FU1007" s="175"/>
      <c r="FV1007" s="175"/>
      <c r="FW1007" s="175"/>
      <c r="FX1007" s="175"/>
      <c r="FY1007" s="175"/>
      <c r="FZ1007" s="175"/>
      <c r="GA1007" s="175"/>
      <c r="GB1007" s="175"/>
      <c r="GC1007" s="175"/>
      <c r="GD1007" s="175"/>
      <c r="GE1007" s="175"/>
      <c r="GF1007" s="175"/>
      <c r="GG1007" s="175"/>
      <c r="GH1007" s="175"/>
      <c r="GI1007" s="175"/>
      <c r="GJ1007" s="175"/>
      <c r="GK1007" s="175"/>
      <c r="GL1007" s="175"/>
      <c r="GM1007" s="175"/>
      <c r="GN1007" s="175"/>
      <c r="GO1007" s="175"/>
      <c r="GP1007" s="175"/>
      <c r="GQ1007" s="175"/>
      <c r="GR1007" s="175"/>
      <c r="GS1007" s="175"/>
      <c r="GT1007" s="175"/>
      <c r="GU1007" s="175"/>
      <c r="GV1007" s="175"/>
      <c r="GW1007" s="175"/>
      <c r="GX1007" s="175"/>
      <c r="GY1007" s="175"/>
      <c r="GZ1007" s="175"/>
      <c r="HA1007" s="175"/>
      <c r="HB1007" s="175"/>
      <c r="HC1007" s="175"/>
      <c r="HD1007" s="175"/>
      <c r="HE1007" s="175"/>
      <c r="HF1007" s="175"/>
      <c r="HG1007" s="175"/>
      <c r="HH1007" s="175"/>
      <c r="HI1007" s="175"/>
      <c r="HJ1007" s="175"/>
      <c r="HK1007" s="175"/>
      <c r="HL1007" s="175"/>
      <c r="HM1007" s="175"/>
      <c r="HN1007" s="175"/>
      <c r="HO1007" s="175"/>
      <c r="HP1007" s="175"/>
      <c r="HQ1007" s="175"/>
      <c r="HR1007" s="175"/>
      <c r="HS1007" s="175"/>
      <c r="HT1007" s="175"/>
      <c r="HU1007" s="175"/>
      <c r="HV1007" s="175"/>
      <c r="HW1007" s="175"/>
      <c r="HX1007" s="175"/>
      <c r="HY1007" s="175"/>
      <c r="HZ1007" s="175"/>
      <c r="IA1007" s="175"/>
      <c r="IB1007" s="175"/>
      <c r="IC1007" s="175"/>
      <c r="ID1007" s="175"/>
      <c r="IE1007" s="175"/>
      <c r="IF1007" s="175"/>
      <c r="IG1007" s="175"/>
      <c r="IH1007" s="175"/>
      <c r="II1007" s="175"/>
      <c r="IJ1007" s="175"/>
      <c r="IK1007" s="175"/>
      <c r="IL1007" s="175"/>
      <c r="IM1007" s="175"/>
      <c r="IN1007" s="175"/>
      <c r="IO1007" s="175"/>
      <c r="IP1007" s="175"/>
      <c r="IQ1007" s="175"/>
      <c r="IR1007" s="175"/>
      <c r="IS1007" s="175"/>
      <c r="IT1007" s="175"/>
      <c r="IU1007" s="175"/>
      <c r="IV1007" s="175"/>
      <c r="IW1007" s="175"/>
      <c r="IX1007" s="175"/>
      <c r="IY1007" s="175"/>
      <c r="IZ1007" s="175"/>
      <c r="JA1007" s="175"/>
      <c r="JB1007" s="175"/>
      <c r="JC1007" s="175"/>
      <c r="JD1007" s="175"/>
      <c r="JE1007" s="175"/>
      <c r="JF1007" s="175"/>
      <c r="JG1007" s="175"/>
      <c r="JH1007" s="175"/>
      <c r="JI1007" s="175"/>
      <c r="JJ1007" s="175"/>
      <c r="JK1007" s="175"/>
      <c r="JL1007" s="175"/>
      <c r="JM1007" s="175"/>
      <c r="JN1007" s="175"/>
      <c r="JO1007" s="175"/>
      <c r="JP1007" s="175"/>
      <c r="JQ1007" s="175"/>
      <c r="JR1007" s="175"/>
      <c r="JS1007" s="175"/>
      <c r="JT1007" s="175"/>
      <c r="JU1007" s="175"/>
      <c r="JV1007" s="175"/>
      <c r="JW1007" s="175"/>
      <c r="JX1007" s="175"/>
      <c r="JY1007" s="175"/>
      <c r="JZ1007" s="175"/>
      <c r="KA1007" s="175"/>
      <c r="KB1007" s="175"/>
      <c r="KC1007" s="175"/>
      <c r="KD1007" s="175"/>
      <c r="KE1007" s="175"/>
      <c r="KF1007" s="175"/>
      <c r="KG1007" s="175"/>
      <c r="KH1007" s="175"/>
      <c r="KI1007" s="175"/>
      <c r="KJ1007" s="175"/>
      <c r="KK1007" s="175"/>
      <c r="KL1007" s="175"/>
      <c r="KM1007" s="175"/>
      <c r="KN1007" s="175"/>
      <c r="KO1007" s="175"/>
      <c r="KP1007" s="175"/>
      <c r="KQ1007" s="175"/>
      <c r="KR1007" s="175"/>
      <c r="KS1007" s="175"/>
      <c r="KT1007" s="175"/>
      <c r="KU1007" s="175"/>
      <c r="KV1007" s="175"/>
      <c r="KW1007" s="175"/>
      <c r="KX1007" s="175"/>
      <c r="KY1007" s="175"/>
      <c r="KZ1007" s="175"/>
      <c r="LA1007" s="175"/>
      <c r="LB1007" s="175"/>
      <c r="LC1007" s="175"/>
      <c r="LD1007" s="175"/>
      <c r="LE1007" s="175"/>
      <c r="LF1007" s="175"/>
      <c r="LG1007" s="175"/>
      <c r="LH1007" s="175"/>
      <c r="LI1007" s="175"/>
      <c r="LJ1007" s="175"/>
      <c r="LK1007" s="175"/>
      <c r="LL1007" s="175"/>
      <c r="LM1007" s="175"/>
      <c r="LN1007" s="175"/>
      <c r="LO1007" s="175"/>
      <c r="LP1007" s="175"/>
      <c r="LQ1007" s="175"/>
      <c r="LR1007" s="175"/>
      <c r="LS1007" s="175"/>
      <c r="LT1007" s="175"/>
      <c r="LU1007" s="175"/>
      <c r="LV1007" s="175"/>
      <c r="LW1007" s="175"/>
      <c r="LX1007" s="175"/>
      <c r="LY1007" s="175"/>
      <c r="LZ1007" s="175"/>
      <c r="MA1007" s="175"/>
      <c r="MB1007" s="175"/>
      <c r="MC1007" s="175"/>
      <c r="MD1007" s="175"/>
      <c r="ME1007" s="175"/>
      <c r="MF1007" s="175"/>
      <c r="MG1007" s="175"/>
      <c r="MH1007" s="175"/>
      <c r="MI1007" s="175"/>
      <c r="MJ1007" s="175"/>
      <c r="MK1007" s="175"/>
      <c r="ML1007" s="175"/>
      <c r="MM1007" s="175"/>
      <c r="MN1007" s="175"/>
      <c r="MO1007" s="175"/>
      <c r="MP1007" s="175"/>
      <c r="MQ1007" s="175"/>
      <c r="MR1007" s="175"/>
      <c r="MS1007" s="175"/>
      <c r="MT1007" s="175"/>
      <c r="MU1007" s="175"/>
      <c r="MV1007" s="175"/>
      <c r="MW1007" s="175"/>
      <c r="MX1007" s="175"/>
      <c r="MY1007" s="175"/>
      <c r="MZ1007" s="175"/>
      <c r="NA1007" s="175"/>
      <c r="NB1007" s="175"/>
      <c r="NC1007" s="175"/>
      <c r="ND1007" s="175"/>
      <c r="NE1007" s="175"/>
      <c r="NF1007" s="175"/>
      <c r="NG1007" s="175"/>
      <c r="NH1007" s="175"/>
      <c r="NI1007" s="175"/>
      <c r="NJ1007" s="175"/>
      <c r="NK1007" s="175"/>
      <c r="NL1007" s="175"/>
      <c r="NM1007" s="175"/>
      <c r="NN1007" s="175"/>
      <c r="NO1007" s="175"/>
      <c r="NP1007" s="175"/>
      <c r="NQ1007" s="175"/>
      <c r="NR1007" s="175"/>
      <c r="NS1007" s="175"/>
      <c r="NT1007" s="175"/>
      <c r="NU1007" s="175"/>
      <c r="NV1007" s="175"/>
      <c r="NW1007" s="175"/>
      <c r="NX1007" s="175"/>
      <c r="NY1007" s="175"/>
      <c r="NZ1007" s="175"/>
      <c r="OA1007" s="175"/>
      <c r="OB1007" s="175"/>
      <c r="OC1007" s="175"/>
      <c r="OD1007" s="175"/>
      <c r="OE1007" s="175"/>
      <c r="OF1007" s="175"/>
      <c r="OG1007" s="175"/>
      <c r="OH1007" s="175"/>
      <c r="OI1007" s="175"/>
      <c r="OJ1007" s="175"/>
      <c r="OK1007" s="175"/>
      <c r="OL1007" s="175"/>
      <c r="OM1007" s="175"/>
      <c r="ON1007" s="175"/>
      <c r="OO1007" s="175"/>
      <c r="OP1007" s="175"/>
      <c r="OQ1007" s="175"/>
      <c r="OR1007" s="175"/>
    </row>
    <row r="1008" spans="1:408" s="176" customFormat="1" ht="15.75">
      <c r="A1008" s="181"/>
      <c r="B1008" s="182"/>
      <c r="C1008" s="173"/>
      <c r="E1008" s="173"/>
      <c r="F1008" s="173"/>
      <c r="G1008" s="178"/>
      <c r="H1008" s="178"/>
      <c r="I1008" s="174"/>
      <c r="J1008" s="178"/>
      <c r="K1008" s="328" t="s">
        <v>18</v>
      </c>
      <c r="L1008" s="329"/>
      <c r="M1008" s="330"/>
      <c r="N1008" s="179">
        <v>0.02</v>
      </c>
      <c r="O1008" s="179"/>
      <c r="P1008" s="180">
        <f>P1002*N1008</f>
        <v>8.8000000000000005E-3</v>
      </c>
      <c r="Q1008" s="175"/>
      <c r="R1008" s="175"/>
      <c r="S1008" s="175"/>
      <c r="T1008" s="175"/>
      <c r="U1008" s="175"/>
      <c r="V1008" s="175"/>
      <c r="W1008" s="175"/>
      <c r="X1008" s="175"/>
      <c r="Y1008" s="175"/>
      <c r="Z1008" s="175"/>
      <c r="AA1008" s="175"/>
      <c r="AB1008" s="175"/>
      <c r="AC1008" s="175"/>
      <c r="AD1008" s="175"/>
      <c r="AE1008" s="175"/>
      <c r="AF1008" s="175"/>
      <c r="AG1008" s="175"/>
      <c r="AH1008" s="175"/>
      <c r="AI1008" s="175"/>
      <c r="AJ1008" s="175"/>
      <c r="AK1008" s="175"/>
      <c r="AL1008" s="175"/>
      <c r="AM1008" s="175"/>
      <c r="AN1008" s="175"/>
      <c r="AO1008" s="175"/>
      <c r="AP1008" s="175"/>
      <c r="AQ1008" s="175"/>
      <c r="AR1008" s="175"/>
      <c r="AS1008" s="175"/>
      <c r="AT1008" s="175"/>
      <c r="AU1008" s="175"/>
      <c r="AV1008" s="175"/>
      <c r="AW1008" s="175"/>
      <c r="AX1008" s="175"/>
      <c r="AY1008" s="175"/>
      <c r="AZ1008" s="175"/>
      <c r="BA1008" s="175"/>
      <c r="BB1008" s="175"/>
      <c r="BC1008" s="175"/>
      <c r="BD1008" s="175"/>
      <c r="BE1008" s="175"/>
      <c r="BF1008" s="175"/>
      <c r="BG1008" s="175"/>
      <c r="BH1008" s="175"/>
      <c r="BI1008" s="175"/>
      <c r="BJ1008" s="175"/>
      <c r="BK1008" s="175"/>
      <c r="BL1008" s="175"/>
      <c r="BM1008" s="175"/>
      <c r="BN1008" s="175"/>
      <c r="BO1008" s="175"/>
      <c r="BP1008" s="175"/>
      <c r="BQ1008" s="175"/>
      <c r="BR1008" s="175"/>
      <c r="BS1008" s="175"/>
      <c r="BT1008" s="175"/>
      <c r="BU1008" s="175"/>
      <c r="BV1008" s="175"/>
      <c r="BW1008" s="175"/>
      <c r="BX1008" s="175"/>
      <c r="BY1008" s="175"/>
      <c r="BZ1008" s="175"/>
      <c r="CA1008" s="175"/>
      <c r="CB1008" s="175"/>
      <c r="CC1008" s="175"/>
      <c r="CD1008" s="175"/>
      <c r="CE1008" s="175"/>
      <c r="CF1008" s="175"/>
      <c r="CG1008" s="175"/>
      <c r="CH1008" s="175"/>
      <c r="CI1008" s="175"/>
      <c r="CJ1008" s="175"/>
      <c r="CK1008" s="175"/>
      <c r="CL1008" s="175"/>
      <c r="CM1008" s="175"/>
      <c r="CN1008" s="175"/>
      <c r="CO1008" s="175"/>
      <c r="CP1008" s="175"/>
      <c r="CQ1008" s="175"/>
      <c r="CR1008" s="175"/>
      <c r="CS1008" s="175"/>
      <c r="CT1008" s="175"/>
      <c r="CU1008" s="175"/>
      <c r="CV1008" s="175"/>
      <c r="CW1008" s="175"/>
      <c r="CX1008" s="175"/>
      <c r="CY1008" s="175"/>
      <c r="CZ1008" s="175"/>
      <c r="DA1008" s="175"/>
      <c r="DB1008" s="175"/>
      <c r="DC1008" s="175"/>
      <c r="DD1008" s="175"/>
      <c r="DE1008" s="175"/>
      <c r="DF1008" s="175"/>
      <c r="DG1008" s="175"/>
      <c r="DH1008" s="175"/>
      <c r="DI1008" s="175"/>
      <c r="DJ1008" s="175"/>
      <c r="DK1008" s="175"/>
      <c r="DL1008" s="175"/>
      <c r="DM1008" s="175"/>
      <c r="DN1008" s="175"/>
      <c r="DO1008" s="175"/>
      <c r="DP1008" s="175"/>
      <c r="DQ1008" s="175"/>
      <c r="DR1008" s="175"/>
      <c r="DS1008" s="175"/>
      <c r="DT1008" s="175"/>
      <c r="DU1008" s="175"/>
      <c r="DV1008" s="175"/>
      <c r="DW1008" s="175"/>
      <c r="DX1008" s="175"/>
      <c r="DY1008" s="175"/>
      <c r="DZ1008" s="175"/>
      <c r="EA1008" s="175"/>
      <c r="EB1008" s="175"/>
      <c r="EC1008" s="175"/>
      <c r="ED1008" s="175"/>
      <c r="EE1008" s="175"/>
      <c r="EF1008" s="175"/>
      <c r="EG1008" s="175"/>
      <c r="EH1008" s="175"/>
      <c r="EI1008" s="175"/>
      <c r="EJ1008" s="175"/>
      <c r="EK1008" s="175"/>
      <c r="EL1008" s="175"/>
      <c r="EM1008" s="175"/>
      <c r="EN1008" s="175"/>
      <c r="EO1008" s="175"/>
      <c r="EP1008" s="175"/>
      <c r="EQ1008" s="175"/>
      <c r="ER1008" s="175"/>
      <c r="ES1008" s="175"/>
      <c r="ET1008" s="175"/>
      <c r="EU1008" s="175"/>
      <c r="EV1008" s="175"/>
      <c r="EW1008" s="175"/>
      <c r="EX1008" s="175"/>
      <c r="EY1008" s="175"/>
      <c r="EZ1008" s="175"/>
      <c r="FA1008" s="175"/>
      <c r="FB1008" s="175"/>
      <c r="FC1008" s="175"/>
      <c r="FD1008" s="175"/>
      <c r="FE1008" s="175"/>
      <c r="FF1008" s="175"/>
      <c r="FG1008" s="175"/>
      <c r="FH1008" s="175"/>
      <c r="FI1008" s="175"/>
      <c r="FJ1008" s="175"/>
      <c r="FK1008" s="175"/>
      <c r="FL1008" s="175"/>
      <c r="FM1008" s="175"/>
      <c r="FN1008" s="175"/>
      <c r="FO1008" s="175"/>
      <c r="FP1008" s="175"/>
      <c r="FQ1008" s="175"/>
      <c r="FR1008" s="175"/>
      <c r="FS1008" s="175"/>
      <c r="FT1008" s="175"/>
      <c r="FU1008" s="175"/>
      <c r="FV1008" s="175"/>
      <c r="FW1008" s="175"/>
      <c r="FX1008" s="175"/>
      <c r="FY1008" s="175"/>
      <c r="FZ1008" s="175"/>
      <c r="GA1008" s="175"/>
      <c r="GB1008" s="175"/>
      <c r="GC1008" s="175"/>
      <c r="GD1008" s="175"/>
      <c r="GE1008" s="175"/>
      <c r="GF1008" s="175"/>
      <c r="GG1008" s="175"/>
      <c r="GH1008" s="175"/>
      <c r="GI1008" s="175"/>
      <c r="GJ1008" s="175"/>
      <c r="GK1008" s="175"/>
      <c r="GL1008" s="175"/>
      <c r="GM1008" s="175"/>
      <c r="GN1008" s="175"/>
      <c r="GO1008" s="175"/>
      <c r="GP1008" s="175"/>
      <c r="GQ1008" s="175"/>
      <c r="GR1008" s="175"/>
      <c r="GS1008" s="175"/>
      <c r="GT1008" s="175"/>
      <c r="GU1008" s="175"/>
      <c r="GV1008" s="175"/>
      <c r="GW1008" s="175"/>
      <c r="GX1008" s="175"/>
      <c r="GY1008" s="175"/>
      <c r="GZ1008" s="175"/>
      <c r="HA1008" s="175"/>
      <c r="HB1008" s="175"/>
      <c r="HC1008" s="175"/>
      <c r="HD1008" s="175"/>
      <c r="HE1008" s="175"/>
      <c r="HF1008" s="175"/>
      <c r="HG1008" s="175"/>
      <c r="HH1008" s="175"/>
      <c r="HI1008" s="175"/>
      <c r="HJ1008" s="175"/>
      <c r="HK1008" s="175"/>
      <c r="HL1008" s="175"/>
      <c r="HM1008" s="175"/>
      <c r="HN1008" s="175"/>
      <c r="HO1008" s="175"/>
      <c r="HP1008" s="175"/>
      <c r="HQ1008" s="175"/>
      <c r="HR1008" s="175"/>
      <c r="HS1008" s="175"/>
      <c r="HT1008" s="175"/>
      <c r="HU1008" s="175"/>
      <c r="HV1008" s="175"/>
      <c r="HW1008" s="175"/>
      <c r="HX1008" s="175"/>
      <c r="HY1008" s="175"/>
      <c r="HZ1008" s="175"/>
      <c r="IA1008" s="175"/>
      <c r="IB1008" s="175"/>
      <c r="IC1008" s="175"/>
      <c r="ID1008" s="175"/>
      <c r="IE1008" s="175"/>
      <c r="IF1008" s="175"/>
      <c r="IG1008" s="175"/>
      <c r="IH1008" s="175"/>
      <c r="II1008" s="175"/>
      <c r="IJ1008" s="175"/>
      <c r="IK1008" s="175"/>
      <c r="IL1008" s="175"/>
      <c r="IM1008" s="175"/>
      <c r="IN1008" s="175"/>
      <c r="IO1008" s="175"/>
      <c r="IP1008" s="175"/>
      <c r="IQ1008" s="175"/>
      <c r="IR1008" s="175"/>
      <c r="IS1008" s="175"/>
      <c r="IT1008" s="175"/>
      <c r="IU1008" s="175"/>
      <c r="IV1008" s="175"/>
      <c r="IW1008" s="175"/>
      <c r="IX1008" s="175"/>
      <c r="IY1008" s="175"/>
      <c r="IZ1008" s="175"/>
      <c r="JA1008" s="175"/>
      <c r="JB1008" s="175"/>
      <c r="JC1008" s="175"/>
      <c r="JD1008" s="175"/>
      <c r="JE1008" s="175"/>
      <c r="JF1008" s="175"/>
      <c r="JG1008" s="175"/>
      <c r="JH1008" s="175"/>
      <c r="JI1008" s="175"/>
      <c r="JJ1008" s="175"/>
      <c r="JK1008" s="175"/>
      <c r="JL1008" s="175"/>
      <c r="JM1008" s="175"/>
      <c r="JN1008" s="175"/>
      <c r="JO1008" s="175"/>
      <c r="JP1008" s="175"/>
      <c r="JQ1008" s="175"/>
      <c r="JR1008" s="175"/>
      <c r="JS1008" s="175"/>
      <c r="JT1008" s="175"/>
      <c r="JU1008" s="175"/>
      <c r="JV1008" s="175"/>
      <c r="JW1008" s="175"/>
      <c r="JX1008" s="175"/>
      <c r="JY1008" s="175"/>
      <c r="JZ1008" s="175"/>
      <c r="KA1008" s="175"/>
      <c r="KB1008" s="175"/>
      <c r="KC1008" s="175"/>
      <c r="KD1008" s="175"/>
      <c r="KE1008" s="175"/>
      <c r="KF1008" s="175"/>
      <c r="KG1008" s="175"/>
      <c r="KH1008" s="175"/>
      <c r="KI1008" s="175"/>
      <c r="KJ1008" s="175"/>
      <c r="KK1008" s="175"/>
      <c r="KL1008" s="175"/>
      <c r="KM1008" s="175"/>
      <c r="KN1008" s="175"/>
      <c r="KO1008" s="175"/>
      <c r="KP1008" s="175"/>
      <c r="KQ1008" s="175"/>
      <c r="KR1008" s="175"/>
      <c r="KS1008" s="175"/>
      <c r="KT1008" s="175"/>
      <c r="KU1008" s="175"/>
      <c r="KV1008" s="175"/>
      <c r="KW1008" s="175"/>
      <c r="KX1008" s="175"/>
      <c r="KY1008" s="175"/>
      <c r="KZ1008" s="175"/>
      <c r="LA1008" s="175"/>
      <c r="LB1008" s="175"/>
      <c r="LC1008" s="175"/>
      <c r="LD1008" s="175"/>
      <c r="LE1008" s="175"/>
      <c r="LF1008" s="175"/>
      <c r="LG1008" s="175"/>
      <c r="LH1008" s="175"/>
      <c r="LI1008" s="175"/>
      <c r="LJ1008" s="175"/>
      <c r="LK1008" s="175"/>
      <c r="LL1008" s="175"/>
      <c r="LM1008" s="175"/>
      <c r="LN1008" s="175"/>
      <c r="LO1008" s="175"/>
      <c r="LP1008" s="175"/>
      <c r="LQ1008" s="175"/>
      <c r="LR1008" s="175"/>
      <c r="LS1008" s="175"/>
      <c r="LT1008" s="175"/>
      <c r="LU1008" s="175"/>
      <c r="LV1008" s="175"/>
      <c r="LW1008" s="175"/>
      <c r="LX1008" s="175"/>
      <c r="LY1008" s="175"/>
      <c r="LZ1008" s="175"/>
      <c r="MA1008" s="175"/>
      <c r="MB1008" s="175"/>
      <c r="MC1008" s="175"/>
      <c r="MD1008" s="175"/>
      <c r="ME1008" s="175"/>
      <c r="MF1008" s="175"/>
      <c r="MG1008" s="175"/>
      <c r="MH1008" s="175"/>
      <c r="MI1008" s="175"/>
      <c r="MJ1008" s="175"/>
      <c r="MK1008" s="175"/>
      <c r="ML1008" s="175"/>
      <c r="MM1008" s="175"/>
      <c r="MN1008" s="175"/>
      <c r="MO1008" s="175"/>
      <c r="MP1008" s="175"/>
      <c r="MQ1008" s="175"/>
      <c r="MR1008" s="175"/>
      <c r="MS1008" s="175"/>
      <c r="MT1008" s="175"/>
      <c r="MU1008" s="175"/>
      <c r="MV1008" s="175"/>
      <c r="MW1008" s="175"/>
      <c r="MX1008" s="175"/>
      <c r="MY1008" s="175"/>
      <c r="MZ1008" s="175"/>
      <c r="NA1008" s="175"/>
      <c r="NB1008" s="175"/>
      <c r="NC1008" s="175"/>
      <c r="ND1008" s="175"/>
      <c r="NE1008" s="175"/>
      <c r="NF1008" s="175"/>
      <c r="NG1008" s="175"/>
      <c r="NH1008" s="175"/>
      <c r="NI1008" s="175"/>
      <c r="NJ1008" s="175"/>
      <c r="NK1008" s="175"/>
      <c r="NL1008" s="175"/>
      <c r="NM1008" s="175"/>
      <c r="NN1008" s="175"/>
      <c r="NO1008" s="175"/>
      <c r="NP1008" s="175"/>
      <c r="NQ1008" s="175"/>
      <c r="NR1008" s="175"/>
      <c r="NS1008" s="175"/>
      <c r="NT1008" s="175"/>
      <c r="NU1008" s="175"/>
      <c r="NV1008" s="175"/>
      <c r="NW1008" s="175"/>
      <c r="NX1008" s="175"/>
      <c r="NY1008" s="175"/>
      <c r="NZ1008" s="175"/>
      <c r="OA1008" s="175"/>
      <c r="OB1008" s="175"/>
      <c r="OC1008" s="175"/>
      <c r="OD1008" s="175"/>
      <c r="OE1008" s="175"/>
      <c r="OF1008" s="175"/>
      <c r="OG1008" s="175"/>
      <c r="OH1008" s="175"/>
      <c r="OI1008" s="175"/>
      <c r="OJ1008" s="175"/>
      <c r="OK1008" s="175"/>
      <c r="OL1008" s="175"/>
      <c r="OM1008" s="175"/>
      <c r="ON1008" s="175"/>
      <c r="OO1008" s="175"/>
      <c r="OP1008" s="175"/>
      <c r="OQ1008" s="175"/>
      <c r="OR1008" s="175"/>
    </row>
    <row r="1009" spans="1:408" s="176" customFormat="1" ht="15.75">
      <c r="A1009" s="181"/>
      <c r="B1009" s="182"/>
      <c r="C1009" s="173"/>
      <c r="E1009" s="173"/>
      <c r="F1009" s="173"/>
      <c r="G1009" s="178"/>
      <c r="H1009" s="178"/>
      <c r="I1009" s="174"/>
      <c r="J1009" s="178"/>
      <c r="K1009" s="331"/>
      <c r="L1009" s="332"/>
      <c r="M1009" s="332"/>
      <c r="N1009" s="332"/>
      <c r="O1009" s="329"/>
      <c r="P1009" s="183"/>
      <c r="Q1009" s="175"/>
      <c r="R1009" s="175"/>
      <c r="S1009" s="175"/>
      <c r="T1009" s="175"/>
      <c r="U1009" s="175"/>
      <c r="V1009" s="175"/>
      <c r="W1009" s="175"/>
      <c r="X1009" s="175"/>
      <c r="Y1009" s="175"/>
      <c r="Z1009" s="175"/>
      <c r="AA1009" s="175"/>
      <c r="AB1009" s="175"/>
      <c r="AC1009" s="175"/>
      <c r="AD1009" s="175"/>
      <c r="AE1009" s="175"/>
      <c r="AF1009" s="175"/>
      <c r="AG1009" s="175"/>
      <c r="AH1009" s="175"/>
      <c r="AI1009" s="175"/>
      <c r="AJ1009" s="175"/>
      <c r="AK1009" s="175"/>
      <c r="AL1009" s="175"/>
      <c r="AM1009" s="175"/>
      <c r="AN1009" s="175"/>
      <c r="AO1009" s="175"/>
      <c r="AP1009" s="175"/>
      <c r="AQ1009" s="175"/>
      <c r="AR1009" s="175"/>
      <c r="AS1009" s="175"/>
      <c r="AT1009" s="175"/>
      <c r="AU1009" s="175"/>
      <c r="AV1009" s="175"/>
      <c r="AW1009" s="175"/>
      <c r="AX1009" s="175"/>
      <c r="AY1009" s="175"/>
      <c r="AZ1009" s="175"/>
      <c r="BA1009" s="175"/>
      <c r="BB1009" s="175"/>
      <c r="BC1009" s="175"/>
      <c r="BD1009" s="175"/>
      <c r="BE1009" s="175"/>
      <c r="BF1009" s="175"/>
      <c r="BG1009" s="175"/>
      <c r="BH1009" s="175"/>
      <c r="BI1009" s="175"/>
      <c r="BJ1009" s="175"/>
      <c r="BK1009" s="175"/>
      <c r="BL1009" s="175"/>
      <c r="BM1009" s="175"/>
      <c r="BN1009" s="175"/>
      <c r="BO1009" s="175"/>
      <c r="BP1009" s="175"/>
      <c r="BQ1009" s="175"/>
      <c r="BR1009" s="175"/>
      <c r="BS1009" s="175"/>
      <c r="BT1009" s="175"/>
      <c r="BU1009" s="175"/>
      <c r="BV1009" s="175"/>
      <c r="BW1009" s="175"/>
      <c r="BX1009" s="175"/>
      <c r="BY1009" s="175"/>
      <c r="BZ1009" s="175"/>
      <c r="CA1009" s="175"/>
      <c r="CB1009" s="175"/>
      <c r="CC1009" s="175"/>
      <c r="CD1009" s="175"/>
      <c r="CE1009" s="175"/>
      <c r="CF1009" s="175"/>
      <c r="CG1009" s="175"/>
      <c r="CH1009" s="175"/>
      <c r="CI1009" s="175"/>
      <c r="CJ1009" s="175"/>
      <c r="CK1009" s="175"/>
      <c r="CL1009" s="175"/>
      <c r="CM1009" s="175"/>
      <c r="CN1009" s="175"/>
      <c r="CO1009" s="175"/>
      <c r="CP1009" s="175"/>
      <c r="CQ1009" s="175"/>
      <c r="CR1009" s="175"/>
      <c r="CS1009" s="175"/>
      <c r="CT1009" s="175"/>
      <c r="CU1009" s="175"/>
      <c r="CV1009" s="175"/>
      <c r="CW1009" s="175"/>
      <c r="CX1009" s="175"/>
      <c r="CY1009" s="175"/>
      <c r="CZ1009" s="175"/>
      <c r="DA1009" s="175"/>
      <c r="DB1009" s="175"/>
      <c r="DC1009" s="175"/>
      <c r="DD1009" s="175"/>
      <c r="DE1009" s="175"/>
      <c r="DF1009" s="175"/>
      <c r="DG1009" s="175"/>
      <c r="DH1009" s="175"/>
      <c r="DI1009" s="175"/>
      <c r="DJ1009" s="175"/>
      <c r="DK1009" s="175"/>
      <c r="DL1009" s="175"/>
      <c r="DM1009" s="175"/>
      <c r="DN1009" s="175"/>
      <c r="DO1009" s="175"/>
      <c r="DP1009" s="175"/>
      <c r="DQ1009" s="175"/>
      <c r="DR1009" s="175"/>
      <c r="DS1009" s="175"/>
      <c r="DT1009" s="175"/>
      <c r="DU1009" s="175"/>
      <c r="DV1009" s="175"/>
      <c r="DW1009" s="175"/>
      <c r="DX1009" s="175"/>
      <c r="DY1009" s="175"/>
      <c r="DZ1009" s="175"/>
      <c r="EA1009" s="175"/>
      <c r="EB1009" s="175"/>
      <c r="EC1009" s="175"/>
      <c r="ED1009" s="175"/>
      <c r="EE1009" s="175"/>
      <c r="EF1009" s="175"/>
      <c r="EG1009" s="175"/>
      <c r="EH1009" s="175"/>
      <c r="EI1009" s="175"/>
      <c r="EJ1009" s="175"/>
      <c r="EK1009" s="175"/>
      <c r="EL1009" s="175"/>
      <c r="EM1009" s="175"/>
      <c r="EN1009" s="175"/>
      <c r="EO1009" s="175"/>
      <c r="EP1009" s="175"/>
      <c r="EQ1009" s="175"/>
      <c r="ER1009" s="175"/>
      <c r="ES1009" s="175"/>
      <c r="ET1009" s="175"/>
      <c r="EU1009" s="175"/>
      <c r="EV1009" s="175"/>
      <c r="EW1009" s="175"/>
      <c r="EX1009" s="175"/>
      <c r="EY1009" s="175"/>
      <c r="EZ1009" s="175"/>
      <c r="FA1009" s="175"/>
      <c r="FB1009" s="175"/>
      <c r="FC1009" s="175"/>
      <c r="FD1009" s="175"/>
      <c r="FE1009" s="175"/>
      <c r="FF1009" s="175"/>
      <c r="FG1009" s="175"/>
      <c r="FH1009" s="175"/>
      <c r="FI1009" s="175"/>
      <c r="FJ1009" s="175"/>
      <c r="FK1009" s="175"/>
      <c r="FL1009" s="175"/>
      <c r="FM1009" s="175"/>
      <c r="FN1009" s="175"/>
      <c r="FO1009" s="175"/>
      <c r="FP1009" s="175"/>
      <c r="FQ1009" s="175"/>
      <c r="FR1009" s="175"/>
      <c r="FS1009" s="175"/>
      <c r="FT1009" s="175"/>
      <c r="FU1009" s="175"/>
      <c r="FV1009" s="175"/>
      <c r="FW1009" s="175"/>
      <c r="FX1009" s="175"/>
      <c r="FY1009" s="175"/>
      <c r="FZ1009" s="175"/>
      <c r="GA1009" s="175"/>
      <c r="GB1009" s="175"/>
      <c r="GC1009" s="175"/>
      <c r="GD1009" s="175"/>
      <c r="GE1009" s="175"/>
      <c r="GF1009" s="175"/>
      <c r="GG1009" s="175"/>
      <c r="GH1009" s="175"/>
      <c r="GI1009" s="175"/>
      <c r="GJ1009" s="175"/>
      <c r="GK1009" s="175"/>
      <c r="GL1009" s="175"/>
      <c r="GM1009" s="175"/>
      <c r="GN1009" s="175"/>
      <c r="GO1009" s="175"/>
      <c r="GP1009" s="175"/>
      <c r="GQ1009" s="175"/>
      <c r="GR1009" s="175"/>
      <c r="GS1009" s="175"/>
      <c r="GT1009" s="175"/>
      <c r="GU1009" s="175"/>
      <c r="GV1009" s="175"/>
      <c r="GW1009" s="175"/>
      <c r="GX1009" s="175"/>
      <c r="GY1009" s="175"/>
      <c r="GZ1009" s="175"/>
      <c r="HA1009" s="175"/>
      <c r="HB1009" s="175"/>
      <c r="HC1009" s="175"/>
      <c r="HD1009" s="175"/>
      <c r="HE1009" s="175"/>
      <c r="HF1009" s="175"/>
      <c r="HG1009" s="175"/>
      <c r="HH1009" s="175"/>
      <c r="HI1009" s="175"/>
      <c r="HJ1009" s="175"/>
      <c r="HK1009" s="175"/>
      <c r="HL1009" s="175"/>
      <c r="HM1009" s="175"/>
      <c r="HN1009" s="175"/>
      <c r="HO1009" s="175"/>
      <c r="HP1009" s="175"/>
      <c r="HQ1009" s="175"/>
      <c r="HR1009" s="175"/>
      <c r="HS1009" s="175"/>
      <c r="HT1009" s="175"/>
      <c r="HU1009" s="175"/>
      <c r="HV1009" s="175"/>
      <c r="HW1009" s="175"/>
      <c r="HX1009" s="175"/>
      <c r="HY1009" s="175"/>
      <c r="HZ1009" s="175"/>
      <c r="IA1009" s="175"/>
      <c r="IB1009" s="175"/>
      <c r="IC1009" s="175"/>
      <c r="ID1009" s="175"/>
      <c r="IE1009" s="175"/>
      <c r="IF1009" s="175"/>
      <c r="IG1009" s="175"/>
      <c r="IH1009" s="175"/>
      <c r="II1009" s="175"/>
      <c r="IJ1009" s="175"/>
      <c r="IK1009" s="175"/>
      <c r="IL1009" s="175"/>
      <c r="IM1009" s="175"/>
      <c r="IN1009" s="175"/>
      <c r="IO1009" s="175"/>
      <c r="IP1009" s="175"/>
      <c r="IQ1009" s="175"/>
      <c r="IR1009" s="175"/>
      <c r="IS1009" s="175"/>
      <c r="IT1009" s="175"/>
      <c r="IU1009" s="175"/>
      <c r="IV1009" s="175"/>
      <c r="IW1009" s="175"/>
      <c r="IX1009" s="175"/>
      <c r="IY1009" s="175"/>
      <c r="IZ1009" s="175"/>
      <c r="JA1009" s="175"/>
      <c r="JB1009" s="175"/>
      <c r="JC1009" s="175"/>
      <c r="JD1009" s="175"/>
      <c r="JE1009" s="175"/>
      <c r="JF1009" s="175"/>
      <c r="JG1009" s="175"/>
      <c r="JH1009" s="175"/>
      <c r="JI1009" s="175"/>
      <c r="JJ1009" s="175"/>
      <c r="JK1009" s="175"/>
      <c r="JL1009" s="175"/>
      <c r="JM1009" s="175"/>
      <c r="JN1009" s="175"/>
      <c r="JO1009" s="175"/>
      <c r="JP1009" s="175"/>
      <c r="JQ1009" s="175"/>
      <c r="JR1009" s="175"/>
      <c r="JS1009" s="175"/>
      <c r="JT1009" s="175"/>
      <c r="JU1009" s="175"/>
      <c r="JV1009" s="175"/>
      <c r="JW1009" s="175"/>
      <c r="JX1009" s="175"/>
      <c r="JY1009" s="175"/>
      <c r="JZ1009" s="175"/>
      <c r="KA1009" s="175"/>
      <c r="KB1009" s="175"/>
      <c r="KC1009" s="175"/>
      <c r="KD1009" s="175"/>
      <c r="KE1009" s="175"/>
      <c r="KF1009" s="175"/>
      <c r="KG1009" s="175"/>
      <c r="KH1009" s="175"/>
      <c r="KI1009" s="175"/>
      <c r="KJ1009" s="175"/>
      <c r="KK1009" s="175"/>
      <c r="KL1009" s="175"/>
      <c r="KM1009" s="175"/>
      <c r="KN1009" s="175"/>
      <c r="KO1009" s="175"/>
      <c r="KP1009" s="175"/>
      <c r="KQ1009" s="175"/>
      <c r="KR1009" s="175"/>
      <c r="KS1009" s="175"/>
      <c r="KT1009" s="175"/>
      <c r="KU1009" s="175"/>
      <c r="KV1009" s="175"/>
      <c r="KW1009" s="175"/>
      <c r="KX1009" s="175"/>
      <c r="KY1009" s="175"/>
      <c r="KZ1009" s="175"/>
      <c r="LA1009" s="175"/>
      <c r="LB1009" s="175"/>
      <c r="LC1009" s="175"/>
      <c r="LD1009" s="175"/>
      <c r="LE1009" s="175"/>
      <c r="LF1009" s="175"/>
      <c r="LG1009" s="175"/>
      <c r="LH1009" s="175"/>
      <c r="LI1009" s="175"/>
      <c r="LJ1009" s="175"/>
      <c r="LK1009" s="175"/>
      <c r="LL1009" s="175"/>
      <c r="LM1009" s="175"/>
      <c r="LN1009" s="175"/>
      <c r="LO1009" s="175"/>
      <c r="LP1009" s="175"/>
      <c r="LQ1009" s="175"/>
      <c r="LR1009" s="175"/>
      <c r="LS1009" s="175"/>
      <c r="LT1009" s="175"/>
      <c r="LU1009" s="175"/>
      <c r="LV1009" s="175"/>
      <c r="LW1009" s="175"/>
      <c r="LX1009" s="175"/>
      <c r="LY1009" s="175"/>
      <c r="LZ1009" s="175"/>
      <c r="MA1009" s="175"/>
      <c r="MB1009" s="175"/>
      <c r="MC1009" s="175"/>
      <c r="MD1009" s="175"/>
      <c r="ME1009" s="175"/>
      <c r="MF1009" s="175"/>
      <c r="MG1009" s="175"/>
      <c r="MH1009" s="175"/>
      <c r="MI1009" s="175"/>
      <c r="MJ1009" s="175"/>
      <c r="MK1009" s="175"/>
      <c r="ML1009" s="175"/>
      <c r="MM1009" s="175"/>
      <c r="MN1009" s="175"/>
      <c r="MO1009" s="175"/>
      <c r="MP1009" s="175"/>
      <c r="MQ1009" s="175"/>
      <c r="MR1009" s="175"/>
      <c r="MS1009" s="175"/>
      <c r="MT1009" s="175"/>
      <c r="MU1009" s="175"/>
      <c r="MV1009" s="175"/>
      <c r="MW1009" s="175"/>
      <c r="MX1009" s="175"/>
      <c r="MY1009" s="175"/>
      <c r="MZ1009" s="175"/>
      <c r="NA1009" s="175"/>
      <c r="NB1009" s="175"/>
      <c r="NC1009" s="175"/>
      <c r="ND1009" s="175"/>
      <c r="NE1009" s="175"/>
      <c r="NF1009" s="175"/>
      <c r="NG1009" s="175"/>
      <c r="NH1009" s="175"/>
      <c r="NI1009" s="175"/>
      <c r="NJ1009" s="175"/>
      <c r="NK1009" s="175"/>
      <c r="NL1009" s="175"/>
      <c r="NM1009" s="175"/>
      <c r="NN1009" s="175"/>
      <c r="NO1009" s="175"/>
      <c r="NP1009" s="175"/>
      <c r="NQ1009" s="175"/>
      <c r="NR1009" s="175"/>
      <c r="NS1009" s="175"/>
      <c r="NT1009" s="175"/>
      <c r="NU1009" s="175"/>
      <c r="NV1009" s="175"/>
      <c r="NW1009" s="175"/>
      <c r="NX1009" s="175"/>
      <c r="NY1009" s="175"/>
      <c r="NZ1009" s="175"/>
      <c r="OA1009" s="175"/>
      <c r="OB1009" s="175"/>
      <c r="OC1009" s="175"/>
      <c r="OD1009" s="175"/>
      <c r="OE1009" s="175"/>
      <c r="OF1009" s="175"/>
      <c r="OG1009" s="175"/>
      <c r="OH1009" s="175"/>
      <c r="OI1009" s="175"/>
      <c r="OJ1009" s="175"/>
      <c r="OK1009" s="175"/>
      <c r="OL1009" s="175"/>
      <c r="OM1009" s="175"/>
      <c r="ON1009" s="175"/>
      <c r="OO1009" s="175"/>
      <c r="OP1009" s="175"/>
      <c r="OQ1009" s="175"/>
      <c r="OR1009" s="175"/>
    </row>
    <row r="1010" spans="1:408" s="176" customFormat="1" ht="16.5" thickBot="1">
      <c r="A1010" s="184"/>
      <c r="B1010" s="185"/>
      <c r="C1010" s="186"/>
      <c r="E1010" s="173"/>
      <c r="F1010" s="173"/>
      <c r="G1010" s="178"/>
      <c r="H1010" s="178"/>
      <c r="I1010" s="174"/>
      <c r="J1010" s="173"/>
      <c r="K1010" s="325" t="s">
        <v>19</v>
      </c>
      <c r="L1010" s="326"/>
      <c r="M1010" s="326"/>
      <c r="N1010" s="326"/>
      <c r="O1010" s="327"/>
      <c r="P1010" s="187">
        <f>SUM(P1002:P1008)</f>
        <v>0.53680000000000005</v>
      </c>
      <c r="Q1010" s="175"/>
      <c r="R1010" s="175"/>
      <c r="S1010" s="175"/>
      <c r="T1010" s="175"/>
      <c r="U1010" s="175"/>
      <c r="V1010" s="175"/>
      <c r="W1010" s="175"/>
      <c r="X1010" s="175"/>
      <c r="Y1010" s="175"/>
      <c r="Z1010" s="175"/>
      <c r="AA1010" s="175"/>
      <c r="AB1010" s="175"/>
      <c r="AC1010" s="175"/>
      <c r="AD1010" s="175"/>
      <c r="AE1010" s="175"/>
      <c r="AF1010" s="175"/>
      <c r="AG1010" s="175"/>
      <c r="AH1010" s="175"/>
      <c r="AI1010" s="175"/>
      <c r="AJ1010" s="175"/>
      <c r="AK1010" s="175"/>
      <c r="AL1010" s="175"/>
      <c r="AM1010" s="175"/>
      <c r="AN1010" s="175"/>
      <c r="AO1010" s="175"/>
      <c r="AP1010" s="175"/>
      <c r="AQ1010" s="175"/>
      <c r="AR1010" s="175"/>
      <c r="AS1010" s="175"/>
      <c r="AT1010" s="175"/>
      <c r="AU1010" s="175"/>
      <c r="AV1010" s="175"/>
      <c r="AW1010" s="175"/>
      <c r="AX1010" s="175"/>
      <c r="AY1010" s="175"/>
      <c r="AZ1010" s="175"/>
      <c r="BA1010" s="175"/>
      <c r="BB1010" s="175"/>
      <c r="BC1010" s="175"/>
      <c r="BD1010" s="175"/>
      <c r="BE1010" s="175"/>
      <c r="BF1010" s="175"/>
      <c r="BG1010" s="175"/>
      <c r="BH1010" s="175"/>
      <c r="BI1010" s="175"/>
      <c r="BJ1010" s="175"/>
      <c r="BK1010" s="175"/>
      <c r="BL1010" s="175"/>
      <c r="BM1010" s="175"/>
      <c r="BN1010" s="175"/>
      <c r="BO1010" s="175"/>
      <c r="BP1010" s="175"/>
      <c r="BQ1010" s="175"/>
      <c r="BR1010" s="175"/>
      <c r="BS1010" s="175"/>
      <c r="BT1010" s="175"/>
      <c r="BU1010" s="175"/>
      <c r="BV1010" s="175"/>
      <c r="BW1010" s="175"/>
      <c r="BX1010" s="175"/>
      <c r="BY1010" s="175"/>
      <c r="BZ1010" s="175"/>
      <c r="CA1010" s="175"/>
      <c r="CB1010" s="175"/>
      <c r="CC1010" s="175"/>
      <c r="CD1010" s="175"/>
      <c r="CE1010" s="175"/>
      <c r="CF1010" s="175"/>
      <c r="CG1010" s="175"/>
      <c r="CH1010" s="175"/>
      <c r="CI1010" s="175"/>
      <c r="CJ1010" s="175"/>
      <c r="CK1010" s="175"/>
      <c r="CL1010" s="175"/>
      <c r="CM1010" s="175"/>
      <c r="CN1010" s="175"/>
      <c r="CO1010" s="175"/>
      <c r="CP1010" s="175"/>
      <c r="CQ1010" s="175"/>
      <c r="CR1010" s="175"/>
      <c r="CS1010" s="175"/>
      <c r="CT1010" s="175"/>
      <c r="CU1010" s="175"/>
      <c r="CV1010" s="175"/>
      <c r="CW1010" s="175"/>
      <c r="CX1010" s="175"/>
      <c r="CY1010" s="175"/>
      <c r="CZ1010" s="175"/>
      <c r="DA1010" s="175"/>
      <c r="DB1010" s="175"/>
      <c r="DC1010" s="175"/>
      <c r="DD1010" s="175"/>
      <c r="DE1010" s="175"/>
      <c r="DF1010" s="175"/>
      <c r="DG1010" s="175"/>
      <c r="DH1010" s="175"/>
      <c r="DI1010" s="175"/>
      <c r="DJ1010" s="175"/>
      <c r="DK1010" s="175"/>
      <c r="DL1010" s="175"/>
      <c r="DM1010" s="175"/>
      <c r="DN1010" s="175"/>
      <c r="DO1010" s="175"/>
      <c r="DP1010" s="175"/>
      <c r="DQ1010" s="175"/>
      <c r="DR1010" s="175"/>
      <c r="DS1010" s="175"/>
      <c r="DT1010" s="175"/>
      <c r="DU1010" s="175"/>
      <c r="DV1010" s="175"/>
      <c r="DW1010" s="175"/>
      <c r="DX1010" s="175"/>
      <c r="DY1010" s="175"/>
      <c r="DZ1010" s="175"/>
      <c r="EA1010" s="175"/>
      <c r="EB1010" s="175"/>
      <c r="EC1010" s="175"/>
      <c r="ED1010" s="175"/>
      <c r="EE1010" s="175"/>
      <c r="EF1010" s="175"/>
      <c r="EG1010" s="175"/>
      <c r="EH1010" s="175"/>
      <c r="EI1010" s="175"/>
      <c r="EJ1010" s="175"/>
      <c r="EK1010" s="175"/>
      <c r="EL1010" s="175"/>
      <c r="EM1010" s="175"/>
      <c r="EN1010" s="175"/>
      <c r="EO1010" s="175"/>
      <c r="EP1010" s="175"/>
      <c r="EQ1010" s="175"/>
      <c r="ER1010" s="175"/>
      <c r="ES1010" s="175"/>
      <c r="ET1010" s="175"/>
      <c r="EU1010" s="175"/>
      <c r="EV1010" s="175"/>
      <c r="EW1010" s="175"/>
      <c r="EX1010" s="175"/>
      <c r="EY1010" s="175"/>
      <c r="EZ1010" s="175"/>
      <c r="FA1010" s="175"/>
      <c r="FB1010" s="175"/>
      <c r="FC1010" s="175"/>
      <c r="FD1010" s="175"/>
      <c r="FE1010" s="175"/>
      <c r="FF1010" s="175"/>
      <c r="FG1010" s="175"/>
      <c r="FH1010" s="175"/>
      <c r="FI1010" s="175"/>
      <c r="FJ1010" s="175"/>
      <c r="FK1010" s="175"/>
      <c r="FL1010" s="175"/>
      <c r="FM1010" s="175"/>
      <c r="FN1010" s="175"/>
      <c r="FO1010" s="175"/>
      <c r="FP1010" s="175"/>
      <c r="FQ1010" s="175"/>
      <c r="FR1010" s="175"/>
      <c r="FS1010" s="175"/>
      <c r="FT1010" s="175"/>
      <c r="FU1010" s="175"/>
      <c r="FV1010" s="175"/>
      <c r="FW1010" s="175"/>
      <c r="FX1010" s="175"/>
      <c r="FY1010" s="175"/>
      <c r="FZ1010" s="175"/>
      <c r="GA1010" s="175"/>
      <c r="GB1010" s="175"/>
      <c r="GC1010" s="175"/>
      <c r="GD1010" s="175"/>
      <c r="GE1010" s="175"/>
      <c r="GF1010" s="175"/>
      <c r="GG1010" s="175"/>
      <c r="GH1010" s="175"/>
      <c r="GI1010" s="175"/>
      <c r="GJ1010" s="175"/>
      <c r="GK1010" s="175"/>
      <c r="GL1010" s="175"/>
      <c r="GM1010" s="175"/>
      <c r="GN1010" s="175"/>
      <c r="GO1010" s="175"/>
      <c r="GP1010" s="175"/>
      <c r="GQ1010" s="175"/>
      <c r="GR1010" s="175"/>
      <c r="GS1010" s="175"/>
      <c r="GT1010" s="175"/>
      <c r="GU1010" s="175"/>
      <c r="GV1010" s="175"/>
      <c r="GW1010" s="175"/>
      <c r="GX1010" s="175"/>
      <c r="GY1010" s="175"/>
      <c r="GZ1010" s="175"/>
      <c r="HA1010" s="175"/>
      <c r="HB1010" s="175"/>
      <c r="HC1010" s="175"/>
      <c r="HD1010" s="175"/>
      <c r="HE1010" s="175"/>
      <c r="HF1010" s="175"/>
      <c r="HG1010" s="175"/>
      <c r="HH1010" s="175"/>
      <c r="HI1010" s="175"/>
      <c r="HJ1010" s="175"/>
      <c r="HK1010" s="175"/>
      <c r="HL1010" s="175"/>
      <c r="HM1010" s="175"/>
      <c r="HN1010" s="175"/>
      <c r="HO1010" s="175"/>
      <c r="HP1010" s="175"/>
      <c r="HQ1010" s="175"/>
      <c r="HR1010" s="175"/>
      <c r="HS1010" s="175"/>
      <c r="HT1010" s="175"/>
      <c r="HU1010" s="175"/>
      <c r="HV1010" s="175"/>
      <c r="HW1010" s="175"/>
      <c r="HX1010" s="175"/>
      <c r="HY1010" s="175"/>
      <c r="HZ1010" s="175"/>
      <c r="IA1010" s="175"/>
      <c r="IB1010" s="175"/>
      <c r="IC1010" s="175"/>
      <c r="ID1010" s="175"/>
      <c r="IE1010" s="175"/>
      <c r="IF1010" s="175"/>
      <c r="IG1010" s="175"/>
      <c r="IH1010" s="175"/>
      <c r="II1010" s="175"/>
      <c r="IJ1010" s="175"/>
      <c r="IK1010" s="175"/>
      <c r="IL1010" s="175"/>
      <c r="IM1010" s="175"/>
      <c r="IN1010" s="175"/>
      <c r="IO1010" s="175"/>
      <c r="IP1010" s="175"/>
      <c r="IQ1010" s="175"/>
      <c r="IR1010" s="175"/>
      <c r="IS1010" s="175"/>
      <c r="IT1010" s="175"/>
      <c r="IU1010" s="175"/>
      <c r="IV1010" s="175"/>
      <c r="IW1010" s="175"/>
      <c r="IX1010" s="175"/>
      <c r="IY1010" s="175"/>
      <c r="IZ1010" s="175"/>
      <c r="JA1010" s="175"/>
      <c r="JB1010" s="175"/>
      <c r="JC1010" s="175"/>
      <c r="JD1010" s="175"/>
      <c r="JE1010" s="175"/>
      <c r="JF1010" s="175"/>
      <c r="JG1010" s="175"/>
      <c r="JH1010" s="175"/>
      <c r="JI1010" s="175"/>
      <c r="JJ1010" s="175"/>
      <c r="JK1010" s="175"/>
      <c r="JL1010" s="175"/>
      <c r="JM1010" s="175"/>
      <c r="JN1010" s="175"/>
      <c r="JO1010" s="175"/>
      <c r="JP1010" s="175"/>
      <c r="JQ1010" s="175"/>
      <c r="JR1010" s="175"/>
      <c r="JS1010" s="175"/>
      <c r="JT1010" s="175"/>
      <c r="JU1010" s="175"/>
      <c r="JV1010" s="175"/>
      <c r="JW1010" s="175"/>
      <c r="JX1010" s="175"/>
      <c r="JY1010" s="175"/>
      <c r="JZ1010" s="175"/>
      <c r="KA1010" s="175"/>
      <c r="KB1010" s="175"/>
      <c r="KC1010" s="175"/>
      <c r="KD1010" s="175"/>
      <c r="KE1010" s="175"/>
      <c r="KF1010" s="175"/>
      <c r="KG1010" s="175"/>
      <c r="KH1010" s="175"/>
      <c r="KI1010" s="175"/>
      <c r="KJ1010" s="175"/>
      <c r="KK1010" s="175"/>
      <c r="KL1010" s="175"/>
      <c r="KM1010" s="175"/>
      <c r="KN1010" s="175"/>
      <c r="KO1010" s="175"/>
      <c r="KP1010" s="175"/>
      <c r="KQ1010" s="175"/>
      <c r="KR1010" s="175"/>
      <c r="KS1010" s="175"/>
      <c r="KT1010" s="175"/>
      <c r="KU1010" s="175"/>
      <c r="KV1010" s="175"/>
      <c r="KW1010" s="175"/>
      <c r="KX1010" s="175"/>
      <c r="KY1010" s="175"/>
      <c r="KZ1010" s="175"/>
      <c r="LA1010" s="175"/>
      <c r="LB1010" s="175"/>
      <c r="LC1010" s="175"/>
      <c r="LD1010" s="175"/>
      <c r="LE1010" s="175"/>
      <c r="LF1010" s="175"/>
      <c r="LG1010" s="175"/>
      <c r="LH1010" s="175"/>
      <c r="LI1010" s="175"/>
      <c r="LJ1010" s="175"/>
      <c r="LK1010" s="175"/>
      <c r="LL1010" s="175"/>
      <c r="LM1010" s="175"/>
      <c r="LN1010" s="175"/>
      <c r="LO1010" s="175"/>
      <c r="LP1010" s="175"/>
      <c r="LQ1010" s="175"/>
      <c r="LR1010" s="175"/>
      <c r="LS1010" s="175"/>
      <c r="LT1010" s="175"/>
      <c r="LU1010" s="175"/>
      <c r="LV1010" s="175"/>
      <c r="LW1010" s="175"/>
      <c r="LX1010" s="175"/>
      <c r="LY1010" s="175"/>
      <c r="LZ1010" s="175"/>
      <c r="MA1010" s="175"/>
      <c r="MB1010" s="175"/>
      <c r="MC1010" s="175"/>
      <c r="MD1010" s="175"/>
      <c r="ME1010" s="175"/>
      <c r="MF1010" s="175"/>
      <c r="MG1010" s="175"/>
      <c r="MH1010" s="175"/>
      <c r="MI1010" s="175"/>
      <c r="MJ1010" s="175"/>
      <c r="MK1010" s="175"/>
      <c r="ML1010" s="175"/>
      <c r="MM1010" s="175"/>
      <c r="MN1010" s="175"/>
      <c r="MO1010" s="175"/>
      <c r="MP1010" s="175"/>
      <c r="MQ1010" s="175"/>
      <c r="MR1010" s="175"/>
      <c r="MS1010" s="175"/>
      <c r="MT1010" s="175"/>
      <c r="MU1010" s="175"/>
      <c r="MV1010" s="175"/>
      <c r="MW1010" s="175"/>
      <c r="MX1010" s="175"/>
      <c r="MY1010" s="175"/>
      <c r="MZ1010" s="175"/>
      <c r="NA1010" s="175"/>
      <c r="NB1010" s="175"/>
      <c r="NC1010" s="175"/>
      <c r="ND1010" s="175"/>
      <c r="NE1010" s="175"/>
      <c r="NF1010" s="175"/>
      <c r="NG1010" s="175"/>
      <c r="NH1010" s="175"/>
      <c r="NI1010" s="175"/>
      <c r="NJ1010" s="175"/>
      <c r="NK1010" s="175"/>
      <c r="NL1010" s="175"/>
      <c r="NM1010" s="175"/>
      <c r="NN1010" s="175"/>
      <c r="NO1010" s="175"/>
      <c r="NP1010" s="175"/>
      <c r="NQ1010" s="175"/>
      <c r="NR1010" s="175"/>
      <c r="NS1010" s="175"/>
      <c r="NT1010" s="175"/>
      <c r="NU1010" s="175"/>
      <c r="NV1010" s="175"/>
      <c r="NW1010" s="175"/>
      <c r="NX1010" s="175"/>
      <c r="NY1010" s="175"/>
      <c r="NZ1010" s="175"/>
      <c r="OA1010" s="175"/>
      <c r="OB1010" s="175"/>
      <c r="OC1010" s="175"/>
      <c r="OD1010" s="175"/>
      <c r="OE1010" s="175"/>
      <c r="OF1010" s="175"/>
      <c r="OG1010" s="175"/>
      <c r="OH1010" s="175"/>
      <c r="OI1010" s="175"/>
      <c r="OJ1010" s="175"/>
      <c r="OK1010" s="175"/>
      <c r="OL1010" s="175"/>
      <c r="OM1010" s="175"/>
      <c r="ON1010" s="175"/>
      <c r="OO1010" s="175"/>
      <c r="OP1010" s="175"/>
      <c r="OQ1010" s="175"/>
      <c r="OR1010" s="175"/>
    </row>
    <row r="1011" spans="1:408" s="42" customFormat="1" ht="15.75">
      <c r="A1011" s="1" t="str">
        <f>IF(F1011&lt;&gt;"",1+MAX(#REF!),"")</f>
        <v/>
      </c>
      <c r="B1011" s="3"/>
      <c r="C1011" s="19"/>
      <c r="D1011" s="20"/>
      <c r="E1011" s="21"/>
      <c r="F1011" s="22"/>
      <c r="G1011" s="23"/>
      <c r="H1011" s="24"/>
      <c r="I1011" s="25"/>
      <c r="J1011" s="25"/>
      <c r="K1011" s="25"/>
      <c r="L1011" s="24"/>
      <c r="M1011" s="24"/>
      <c r="N1011" s="26"/>
      <c r="O1011" s="26"/>
      <c r="P1011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  <c r="AI1011" s="2"/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  <c r="AY1011" s="2"/>
      <c r="AZ1011" s="2"/>
      <c r="BA1011" s="2"/>
      <c r="BB1011" s="2"/>
      <c r="BC1011" s="2"/>
      <c r="BD1011" s="2"/>
      <c r="BE1011" s="2"/>
      <c r="BF1011" s="2"/>
      <c r="BG1011" s="2"/>
      <c r="BH1011" s="2"/>
      <c r="BI1011" s="2"/>
      <c r="BJ1011" s="2"/>
      <c r="BK1011" s="2"/>
      <c r="BL1011" s="2"/>
      <c r="BM1011" s="2"/>
      <c r="BN1011" s="2"/>
      <c r="BO1011" s="2"/>
      <c r="BP1011" s="2"/>
      <c r="BQ1011" s="2"/>
      <c r="BR1011" s="2"/>
      <c r="BS1011" s="2"/>
      <c r="BT1011" s="2"/>
      <c r="BU1011" s="2"/>
      <c r="BV1011" s="2"/>
      <c r="BW1011" s="2"/>
      <c r="BX1011" s="41"/>
      <c r="BY1011" s="41"/>
      <c r="BZ1011" s="41"/>
      <c r="CA1011" s="41"/>
      <c r="CB1011" s="41"/>
      <c r="CC1011" s="41"/>
      <c r="CD1011" s="41"/>
      <c r="CE1011" s="41"/>
      <c r="CF1011" s="41"/>
    </row>
    <row r="1012" spans="1:408" s="42" customFormat="1" ht="15.75">
      <c r="A1012" s="1" t="str">
        <f>IF(F1012&lt;&gt;"",1+MAX($A$1011:A1011),"")</f>
        <v/>
      </c>
      <c r="B1012" s="3"/>
      <c r="C1012" s="19"/>
      <c r="D1012" s="20"/>
      <c r="E1012" s="21"/>
      <c r="F1012" s="22"/>
      <c r="G1012" s="23"/>
      <c r="H1012" s="24"/>
      <c r="I1012" s="25"/>
      <c r="J1012" s="25"/>
      <c r="K1012" s="25"/>
      <c r="L1012" s="24"/>
      <c r="M1012" s="24"/>
      <c r="N1012" s="26"/>
      <c r="O1012" s="26"/>
      <c r="P101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  <c r="AI1012" s="2"/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  <c r="AY1012" s="2"/>
      <c r="AZ1012" s="2"/>
      <c r="BA1012" s="2"/>
      <c r="BB1012" s="2"/>
      <c r="BC1012" s="2"/>
      <c r="BD1012" s="2"/>
      <c r="BE1012" s="2"/>
      <c r="BF1012" s="2"/>
      <c r="BG1012" s="2"/>
      <c r="BH1012" s="2"/>
      <c r="BI1012" s="2"/>
      <c r="BJ1012" s="2"/>
      <c r="BK1012" s="2"/>
      <c r="BL1012" s="2"/>
      <c r="BM1012" s="2"/>
      <c r="BN1012" s="2"/>
      <c r="BO1012" s="2"/>
      <c r="BP1012" s="2"/>
      <c r="BQ1012" s="2"/>
      <c r="BR1012" s="2"/>
      <c r="BS1012" s="2"/>
      <c r="BT1012" s="2"/>
      <c r="BU1012" s="2"/>
      <c r="BV1012" s="2"/>
      <c r="BW1012" s="2"/>
      <c r="BX1012" s="41"/>
      <c r="BY1012" s="41"/>
      <c r="BZ1012" s="41"/>
      <c r="CA1012" s="41"/>
      <c r="CB1012" s="41"/>
      <c r="CC1012" s="41"/>
      <c r="CD1012" s="41"/>
      <c r="CE1012" s="41"/>
      <c r="CF1012" s="41"/>
    </row>
    <row r="1013" spans="1:408" s="42" customFormat="1" ht="15.75">
      <c r="A1013" s="1" t="str">
        <f>IF(F1013&lt;&gt;"",1+MAX($A$1011:A1012),"")</f>
        <v/>
      </c>
      <c r="B1013" s="3"/>
      <c r="C1013" s="19"/>
      <c r="D1013" s="20"/>
      <c r="E1013" s="21"/>
      <c r="F1013" s="22"/>
      <c r="G1013" s="23"/>
      <c r="H1013" s="24"/>
      <c r="I1013" s="25"/>
      <c r="J1013" s="25"/>
      <c r="K1013" s="25"/>
      <c r="L1013" s="24"/>
      <c r="M1013" s="24"/>
      <c r="N1013" s="26"/>
      <c r="O1013" s="26"/>
      <c r="P1013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  <c r="AI1013" s="2"/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  <c r="AY1013" s="2"/>
      <c r="AZ1013" s="2"/>
      <c r="BA1013" s="2"/>
      <c r="BB1013" s="2"/>
      <c r="BC1013" s="2"/>
      <c r="BD1013" s="2"/>
      <c r="BE1013" s="2"/>
      <c r="BF1013" s="2"/>
      <c r="BG1013" s="2"/>
      <c r="BH1013" s="2"/>
      <c r="BI1013" s="2"/>
      <c r="BJ1013" s="2"/>
      <c r="BK1013" s="2"/>
      <c r="BL1013" s="2"/>
      <c r="BM1013" s="2"/>
      <c r="BN1013" s="2"/>
      <c r="BO1013" s="2"/>
      <c r="BP1013" s="2"/>
      <c r="BQ1013" s="2"/>
      <c r="BR1013" s="2"/>
      <c r="BS1013" s="2"/>
      <c r="BT1013" s="2"/>
      <c r="BU1013" s="2"/>
      <c r="BV1013" s="2"/>
      <c r="BW1013" s="2"/>
      <c r="BX1013" s="41"/>
      <c r="BY1013" s="41"/>
      <c r="BZ1013" s="41"/>
      <c r="CA1013" s="41"/>
      <c r="CB1013" s="41"/>
      <c r="CC1013" s="41"/>
      <c r="CD1013" s="41"/>
      <c r="CE1013" s="41"/>
      <c r="CF1013" s="41"/>
    </row>
    <row r="1014" spans="1:408" s="42" customFormat="1" ht="15.75">
      <c r="A1014" s="1" t="str">
        <f>IF(F1014&lt;&gt;"",1+MAX($A$1011:A1013),"")</f>
        <v/>
      </c>
      <c r="B1014" s="3"/>
      <c r="C1014" s="19"/>
      <c r="D1014" s="20"/>
      <c r="E1014" s="21"/>
      <c r="F1014" s="22"/>
      <c r="G1014" s="23"/>
      <c r="H1014" s="24"/>
      <c r="I1014" s="25"/>
      <c r="J1014" s="25"/>
      <c r="K1014" s="25"/>
      <c r="L1014" s="24"/>
      <c r="M1014" s="24"/>
      <c r="N1014" s="26"/>
      <c r="O1014" s="26"/>
      <c r="P1014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  <c r="AI1014" s="2"/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  <c r="AY1014" s="2"/>
      <c r="AZ1014" s="2"/>
      <c r="BA1014" s="2"/>
      <c r="BB1014" s="2"/>
      <c r="BC1014" s="2"/>
      <c r="BD1014" s="2"/>
      <c r="BE1014" s="2"/>
      <c r="BF1014" s="2"/>
      <c r="BG1014" s="2"/>
      <c r="BH1014" s="2"/>
      <c r="BI1014" s="2"/>
      <c r="BJ1014" s="2"/>
      <c r="BK1014" s="2"/>
      <c r="BL1014" s="2"/>
      <c r="BM1014" s="2"/>
      <c r="BN1014" s="2"/>
      <c r="BO1014" s="2"/>
      <c r="BP1014" s="2"/>
      <c r="BQ1014" s="2"/>
      <c r="BR1014" s="2"/>
      <c r="BS1014" s="2"/>
      <c r="BT1014" s="2"/>
      <c r="BU1014" s="2"/>
      <c r="BV1014" s="2"/>
      <c r="BW1014" s="2"/>
      <c r="BX1014" s="41"/>
      <c r="BY1014" s="41"/>
      <c r="BZ1014" s="41"/>
      <c r="CA1014" s="41"/>
      <c r="CB1014" s="41"/>
      <c r="CC1014" s="41"/>
      <c r="CD1014" s="41"/>
      <c r="CE1014" s="41"/>
      <c r="CF1014" s="41"/>
    </row>
    <row r="1015" spans="1:408" s="42" customFormat="1" ht="15.75">
      <c r="A1015" s="1" t="str">
        <f>IF(F1015&lt;&gt;"",1+MAX($A$1011:A1014),"")</f>
        <v/>
      </c>
      <c r="B1015" s="3"/>
      <c r="C1015" s="19"/>
      <c r="D1015" s="20"/>
      <c r="E1015" s="21"/>
      <c r="F1015" s="22"/>
      <c r="G1015" s="23"/>
      <c r="H1015" s="24"/>
      <c r="I1015" s="25"/>
      <c r="J1015" s="25"/>
      <c r="K1015" s="25"/>
      <c r="L1015" s="24"/>
      <c r="M1015" s="24"/>
      <c r="N1015" s="26"/>
      <c r="O1015" s="26"/>
      <c r="P1015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  <c r="AI1015" s="2"/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  <c r="AY1015" s="2"/>
      <c r="AZ1015" s="2"/>
      <c r="BA1015" s="2"/>
      <c r="BB1015" s="2"/>
      <c r="BC1015" s="2"/>
      <c r="BD1015" s="2"/>
      <c r="BE1015" s="2"/>
      <c r="BF1015" s="2"/>
      <c r="BG1015" s="2"/>
      <c r="BH1015" s="2"/>
      <c r="BI1015" s="2"/>
      <c r="BJ1015" s="2"/>
      <c r="BK1015" s="2"/>
      <c r="BL1015" s="2"/>
      <c r="BM1015" s="2"/>
      <c r="BN1015" s="2"/>
      <c r="BO1015" s="2"/>
      <c r="BP1015" s="2"/>
      <c r="BQ1015" s="2"/>
      <c r="BR1015" s="2"/>
      <c r="BS1015" s="2"/>
      <c r="BT1015" s="2"/>
      <c r="BU1015" s="2"/>
      <c r="BV1015" s="2"/>
      <c r="BW1015" s="2"/>
      <c r="BX1015" s="41"/>
      <c r="BY1015" s="41"/>
      <c r="BZ1015" s="41"/>
      <c r="CA1015" s="41"/>
      <c r="CB1015" s="41"/>
      <c r="CC1015" s="41"/>
      <c r="CD1015" s="41"/>
      <c r="CE1015" s="41"/>
      <c r="CF1015" s="41"/>
    </row>
    <row r="1016" spans="1:408" s="42" customFormat="1" ht="15.75">
      <c r="A1016" s="1" t="str">
        <f>IF(F1016&lt;&gt;"",1+MAX($A$1011:A1015),"")</f>
        <v/>
      </c>
      <c r="B1016" s="3"/>
      <c r="C1016" s="19"/>
      <c r="D1016" s="20"/>
      <c r="E1016" s="21"/>
      <c r="F1016" s="22"/>
      <c r="G1016" s="23"/>
      <c r="H1016" s="24"/>
      <c r="I1016" s="25"/>
      <c r="J1016" s="25"/>
      <c r="K1016" s="25"/>
      <c r="L1016" s="24"/>
      <c r="M1016" s="24"/>
      <c r="N1016" s="26"/>
      <c r="O1016" s="26"/>
      <c r="P1016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  <c r="AI1016" s="2"/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  <c r="AY1016" s="2"/>
      <c r="AZ1016" s="2"/>
      <c r="BA1016" s="2"/>
      <c r="BB1016" s="2"/>
      <c r="BC1016" s="2"/>
      <c r="BD1016" s="2"/>
      <c r="BE1016" s="2"/>
      <c r="BF1016" s="2"/>
      <c r="BG1016" s="2"/>
      <c r="BH1016" s="2"/>
      <c r="BI1016" s="2"/>
      <c r="BJ1016" s="2"/>
      <c r="BK1016" s="2"/>
      <c r="BL1016" s="2"/>
      <c r="BM1016" s="2"/>
      <c r="BN1016" s="2"/>
      <c r="BO1016" s="2"/>
      <c r="BP1016" s="2"/>
      <c r="BQ1016" s="2"/>
      <c r="BR1016" s="2"/>
      <c r="BS1016" s="2"/>
      <c r="BT1016" s="2"/>
      <c r="BU1016" s="2"/>
      <c r="BV1016" s="2"/>
      <c r="BW1016" s="2"/>
      <c r="BX1016" s="41"/>
      <c r="BY1016" s="41"/>
      <c r="BZ1016" s="41"/>
      <c r="CA1016" s="41"/>
      <c r="CB1016" s="41"/>
      <c r="CC1016" s="41"/>
      <c r="CD1016" s="41"/>
      <c r="CE1016" s="41"/>
      <c r="CF1016" s="41"/>
    </row>
    <row r="1017" spans="1:408" s="42" customFormat="1">
      <c r="A1017" s="1" t="str">
        <f>IF(F1017&lt;&gt;"",1+MAX($A$1011:A1016),"")</f>
        <v/>
      </c>
      <c r="B1017" s="3"/>
      <c r="C1017" s="19"/>
      <c r="D1017" s="20"/>
      <c r="E1017" s="21"/>
      <c r="F1017" s="22"/>
      <c r="G1017" s="23"/>
      <c r="H1017" s="24"/>
      <c r="I1017" s="25"/>
      <c r="J1017" s="25"/>
      <c r="K1017" s="25"/>
      <c r="L1017" s="24"/>
      <c r="M1017" s="24"/>
      <c r="N1017" s="26"/>
      <c r="O1017" s="26"/>
      <c r="P1017"/>
      <c r="Q1017"/>
      <c r="R1017"/>
      <c r="S1017"/>
      <c r="T1017"/>
      <c r="U1017"/>
      <c r="V1017"/>
      <c r="W1017"/>
      <c r="X1017"/>
      <c r="Y1017"/>
      <c r="Z1017"/>
      <c r="AA1017"/>
      <c r="AB1017"/>
      <c r="AC1017"/>
      <c r="AD1017"/>
      <c r="AE1017"/>
      <c r="AF1017"/>
      <c r="AG1017"/>
      <c r="AH1017"/>
      <c r="AI1017"/>
      <c r="AJ1017"/>
      <c r="AK1017"/>
      <c r="AL1017"/>
      <c r="AM1017"/>
      <c r="AN1017"/>
      <c r="AO1017"/>
      <c r="AP1017"/>
      <c r="AQ1017"/>
      <c r="AR1017"/>
      <c r="AS1017"/>
      <c r="AT1017"/>
      <c r="AU1017"/>
      <c r="AV1017"/>
      <c r="AW1017"/>
      <c r="AX1017"/>
      <c r="AY1017"/>
      <c r="AZ1017"/>
      <c r="BA1017"/>
      <c r="BB1017"/>
      <c r="BC1017"/>
      <c r="BD1017"/>
      <c r="BE1017"/>
      <c r="BF1017"/>
      <c r="BG1017"/>
      <c r="BH1017"/>
      <c r="BI1017"/>
      <c r="BJ1017"/>
      <c r="BK1017"/>
      <c r="BL1017"/>
      <c r="BM1017"/>
      <c r="BN1017"/>
      <c r="BO1017"/>
      <c r="BP1017"/>
      <c r="BQ1017"/>
      <c r="BR1017"/>
      <c r="BS1017"/>
      <c r="BT1017"/>
      <c r="BU1017"/>
      <c r="BV1017"/>
      <c r="BW1017"/>
    </row>
    <row r="1018" spans="1:408" s="42" customFormat="1">
      <c r="A1018" s="1" t="str">
        <f>IF(F1018&lt;&gt;"",1+MAX($A$1011:A1017),"")</f>
        <v/>
      </c>
      <c r="B1018" s="3"/>
      <c r="C1018" s="19"/>
      <c r="D1018" s="20"/>
      <c r="E1018" s="21"/>
      <c r="F1018" s="22"/>
      <c r="G1018" s="23"/>
      <c r="H1018" s="24"/>
      <c r="I1018" s="25"/>
      <c r="J1018" s="25"/>
      <c r="K1018" s="25"/>
      <c r="L1018" s="24"/>
      <c r="M1018" s="24"/>
      <c r="N1018" s="26"/>
      <c r="O1018" s="26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  <c r="AC1018"/>
      <c r="AD1018"/>
      <c r="AE1018"/>
      <c r="AF1018"/>
      <c r="AG1018"/>
      <c r="AH1018"/>
      <c r="AI1018"/>
      <c r="AJ1018"/>
      <c r="AK1018"/>
      <c r="AL1018"/>
      <c r="AM1018"/>
      <c r="AN1018"/>
      <c r="AO1018"/>
      <c r="AP1018"/>
      <c r="AQ1018"/>
      <c r="AR1018"/>
      <c r="AS1018"/>
      <c r="AT1018"/>
      <c r="AU1018"/>
      <c r="AV1018"/>
      <c r="AW1018"/>
      <c r="AX1018"/>
      <c r="AY1018"/>
      <c r="AZ1018"/>
      <c r="BA1018"/>
      <c r="BB1018"/>
      <c r="BC1018"/>
      <c r="BD1018"/>
      <c r="BE1018"/>
      <c r="BF1018"/>
      <c r="BG1018"/>
      <c r="BH1018"/>
      <c r="BI1018"/>
      <c r="BJ1018"/>
      <c r="BK1018"/>
      <c r="BL1018"/>
      <c r="BM1018"/>
      <c r="BN1018"/>
      <c r="BO1018"/>
      <c r="BP1018"/>
      <c r="BQ1018"/>
      <c r="BR1018"/>
      <c r="BS1018"/>
      <c r="BT1018"/>
      <c r="BU1018"/>
      <c r="BV1018"/>
      <c r="BW1018"/>
    </row>
    <row r="1019" spans="1:408" s="42" customFormat="1">
      <c r="A1019" s="1" t="str">
        <f>IF(F1019&lt;&gt;"",1+MAX($A$1011:A1018),"")</f>
        <v/>
      </c>
      <c r="B1019" s="3"/>
      <c r="C1019" s="19"/>
      <c r="D1019" s="20"/>
      <c r="E1019" s="21"/>
      <c r="F1019" s="22"/>
      <c r="G1019" s="23"/>
      <c r="H1019" s="24"/>
      <c r="I1019" s="25"/>
      <c r="J1019" s="25"/>
      <c r="K1019" s="25"/>
      <c r="L1019" s="24"/>
      <c r="M1019" s="24"/>
      <c r="N1019" s="26"/>
      <c r="O1019" s="26"/>
      <c r="P1019"/>
      <c r="Q1019"/>
      <c r="R1019"/>
      <c r="S1019"/>
      <c r="T1019"/>
      <c r="U1019"/>
      <c r="V1019"/>
      <c r="W1019"/>
      <c r="X1019"/>
      <c r="Y1019"/>
      <c r="Z1019"/>
      <c r="AA1019"/>
      <c r="AB1019"/>
      <c r="AC1019"/>
      <c r="AD1019"/>
      <c r="AE1019"/>
      <c r="AF1019"/>
      <c r="AG1019"/>
      <c r="AH1019"/>
      <c r="AI1019"/>
      <c r="AJ1019"/>
      <c r="AK1019"/>
      <c r="AL1019"/>
      <c r="AM1019"/>
      <c r="AN1019"/>
      <c r="AO1019"/>
      <c r="AP1019"/>
      <c r="AQ1019"/>
      <c r="AR1019"/>
      <c r="AS1019"/>
      <c r="AT1019"/>
      <c r="AU1019"/>
      <c r="AV1019"/>
      <c r="AW1019"/>
      <c r="AX1019"/>
      <c r="AY1019"/>
      <c r="AZ1019"/>
      <c r="BA1019"/>
      <c r="BB1019"/>
      <c r="BC1019"/>
      <c r="BD1019"/>
      <c r="BE1019"/>
      <c r="BF1019"/>
      <c r="BG1019"/>
      <c r="BH1019"/>
      <c r="BI1019"/>
      <c r="BJ1019"/>
      <c r="BK1019"/>
      <c r="BL1019"/>
      <c r="BM1019"/>
      <c r="BN1019"/>
      <c r="BO1019"/>
      <c r="BP1019"/>
      <c r="BQ1019"/>
      <c r="BR1019"/>
      <c r="BS1019"/>
      <c r="BT1019"/>
      <c r="BU1019"/>
      <c r="BV1019"/>
      <c r="BW1019"/>
    </row>
    <row r="1020" spans="1:408" s="42" customFormat="1">
      <c r="A1020" s="1" t="str">
        <f>IF(F1020&lt;&gt;"",1+MAX($A$1011:A1019),"")</f>
        <v/>
      </c>
      <c r="B1020" s="3"/>
      <c r="C1020" s="19"/>
      <c r="D1020" s="20"/>
      <c r="E1020" s="21"/>
      <c r="F1020" s="22"/>
      <c r="G1020" s="23"/>
      <c r="H1020" s="24"/>
      <c r="I1020" s="25"/>
      <c r="J1020" s="25"/>
      <c r="K1020" s="25"/>
      <c r="L1020" s="24"/>
      <c r="M1020" s="24"/>
      <c r="N1020" s="26"/>
      <c r="O1020" s="26"/>
      <c r="P1020"/>
      <c r="Q1020"/>
      <c r="R1020"/>
      <c r="S1020"/>
      <c r="T1020"/>
      <c r="U1020"/>
      <c r="V1020"/>
      <c r="W1020"/>
      <c r="X1020"/>
      <c r="Y1020"/>
      <c r="Z1020"/>
      <c r="AA1020"/>
      <c r="AB1020"/>
      <c r="AC1020"/>
      <c r="AD1020"/>
      <c r="AE1020"/>
      <c r="AF1020"/>
      <c r="AG1020"/>
      <c r="AH1020"/>
      <c r="AI1020"/>
      <c r="AJ1020"/>
      <c r="AK1020"/>
      <c r="AL1020"/>
      <c r="AM1020"/>
      <c r="AN1020"/>
      <c r="AO1020"/>
      <c r="AP1020"/>
      <c r="AQ1020"/>
      <c r="AR1020"/>
      <c r="AS1020"/>
      <c r="AT1020"/>
      <c r="AU1020"/>
      <c r="AV1020"/>
      <c r="AW1020"/>
      <c r="AX1020"/>
      <c r="AY1020"/>
      <c r="AZ1020"/>
      <c r="BA1020"/>
      <c r="BB1020"/>
      <c r="BC1020"/>
      <c r="BD1020"/>
      <c r="BE1020"/>
      <c r="BF1020"/>
      <c r="BG1020"/>
      <c r="BH1020"/>
      <c r="BI1020"/>
      <c r="BJ1020"/>
      <c r="BK1020"/>
      <c r="BL1020"/>
      <c r="BM1020"/>
      <c r="BN1020"/>
      <c r="BO1020"/>
      <c r="BP1020"/>
      <c r="BQ1020"/>
      <c r="BR1020"/>
      <c r="BS1020"/>
      <c r="BT1020"/>
      <c r="BU1020"/>
      <c r="BV1020"/>
      <c r="BW1020"/>
    </row>
    <row r="1021" spans="1:408" s="42" customFormat="1">
      <c r="A1021" s="1" t="str">
        <f>IF(F1021&lt;&gt;"",1+MAX($A$1011:A1020),"")</f>
        <v/>
      </c>
      <c r="B1021" s="3"/>
      <c r="C1021" s="19"/>
      <c r="D1021" s="20"/>
      <c r="E1021" s="21"/>
      <c r="F1021" s="22"/>
      <c r="G1021" s="23"/>
      <c r="H1021" s="24"/>
      <c r="I1021" s="25"/>
      <c r="J1021" s="25"/>
      <c r="K1021" s="25"/>
      <c r="L1021" s="24"/>
      <c r="M1021" s="24"/>
      <c r="N1021" s="26"/>
      <c r="O1021" s="26"/>
      <c r="P1021"/>
      <c r="Q1021"/>
      <c r="R1021"/>
      <c r="S1021"/>
      <c r="T1021"/>
      <c r="U1021"/>
      <c r="V1021"/>
      <c r="W1021"/>
      <c r="X1021"/>
      <c r="Y1021"/>
      <c r="Z1021"/>
      <c r="AA1021"/>
      <c r="AB1021"/>
      <c r="AC1021"/>
      <c r="AD1021"/>
      <c r="AE1021"/>
      <c r="AF1021"/>
      <c r="AG1021"/>
      <c r="AH1021"/>
      <c r="AI1021"/>
      <c r="AJ1021"/>
      <c r="AK1021"/>
      <c r="AL1021"/>
      <c r="AM1021"/>
      <c r="AN1021"/>
      <c r="AO1021"/>
      <c r="AP1021"/>
      <c r="AQ1021"/>
      <c r="AR1021"/>
      <c r="AS1021"/>
      <c r="AT1021"/>
      <c r="AU1021"/>
      <c r="AV1021"/>
      <c r="AW1021"/>
      <c r="AX1021"/>
      <c r="AY1021"/>
      <c r="AZ1021"/>
      <c r="BA1021"/>
      <c r="BB1021"/>
      <c r="BC1021"/>
      <c r="BD1021"/>
      <c r="BE1021"/>
      <c r="BF1021"/>
      <c r="BG1021"/>
      <c r="BH1021"/>
      <c r="BI1021"/>
      <c r="BJ1021"/>
      <c r="BK1021"/>
      <c r="BL1021"/>
      <c r="BM1021"/>
      <c r="BN1021"/>
      <c r="BO1021"/>
      <c r="BP1021"/>
      <c r="BQ1021"/>
      <c r="BR1021"/>
      <c r="BS1021"/>
      <c r="BT1021"/>
      <c r="BU1021"/>
      <c r="BV1021"/>
      <c r="BW1021"/>
    </row>
    <row r="1022" spans="1:408" s="42" customFormat="1">
      <c r="A1022" s="1" t="str">
        <f>IF(F1022&lt;&gt;"",1+MAX($A$1011:A1021),"")</f>
        <v/>
      </c>
      <c r="B1022" s="3"/>
      <c r="C1022" s="19"/>
      <c r="D1022" s="20"/>
      <c r="E1022" s="21"/>
      <c r="F1022" s="22"/>
      <c r="G1022" s="23"/>
      <c r="H1022" s="24"/>
      <c r="I1022" s="25"/>
      <c r="J1022" s="25"/>
      <c r="K1022" s="25"/>
      <c r="L1022" s="24"/>
      <c r="M1022" s="24"/>
      <c r="N1022" s="26"/>
      <c r="O1022" s="26"/>
      <c r="P1022"/>
      <c r="Q1022"/>
      <c r="R1022"/>
      <c r="S1022"/>
      <c r="T1022"/>
      <c r="U1022"/>
      <c r="V1022"/>
      <c r="W1022"/>
      <c r="X1022"/>
      <c r="Y1022"/>
      <c r="Z1022"/>
      <c r="AA1022"/>
      <c r="AB1022"/>
      <c r="AC1022"/>
      <c r="AD1022"/>
      <c r="AE1022"/>
      <c r="AF1022"/>
      <c r="AG1022"/>
      <c r="AH1022"/>
      <c r="AI1022"/>
      <c r="AJ1022"/>
      <c r="AK1022"/>
      <c r="AL1022"/>
      <c r="AM1022"/>
      <c r="AN1022"/>
      <c r="AO1022"/>
      <c r="AP1022"/>
      <c r="AQ1022"/>
      <c r="AR1022"/>
      <c r="AS1022"/>
      <c r="AT1022"/>
      <c r="AU1022"/>
      <c r="AV1022"/>
      <c r="AW1022"/>
      <c r="AX1022"/>
      <c r="AY1022"/>
      <c r="AZ1022"/>
      <c r="BA1022"/>
      <c r="BB1022"/>
      <c r="BC1022"/>
      <c r="BD1022"/>
      <c r="BE1022"/>
      <c r="BF1022"/>
      <c r="BG1022"/>
      <c r="BH1022"/>
      <c r="BI1022"/>
      <c r="BJ1022"/>
      <c r="BK1022"/>
      <c r="BL1022"/>
      <c r="BM1022"/>
      <c r="BN1022"/>
      <c r="BO1022"/>
      <c r="BP1022"/>
      <c r="BQ1022"/>
      <c r="BR1022"/>
      <c r="BS1022"/>
      <c r="BT1022"/>
      <c r="BU1022"/>
      <c r="BV1022"/>
      <c r="BW1022"/>
    </row>
    <row r="1023" spans="1:408" s="42" customFormat="1">
      <c r="A1023" s="1" t="str">
        <f>IF(F1023&lt;&gt;"",1+MAX($A$1011:A1022),"")</f>
        <v/>
      </c>
      <c r="B1023" s="3"/>
      <c r="C1023" s="19"/>
      <c r="D1023" s="20"/>
      <c r="E1023" s="21"/>
      <c r="F1023" s="22"/>
      <c r="G1023" s="23"/>
      <c r="H1023" s="24"/>
      <c r="I1023" s="25"/>
      <c r="J1023" s="25"/>
      <c r="K1023" s="25"/>
      <c r="L1023" s="24"/>
      <c r="M1023" s="24"/>
      <c r="N1023" s="26"/>
      <c r="O1023" s="26"/>
      <c r="P1023"/>
      <c r="Q1023"/>
      <c r="R1023"/>
      <c r="S1023"/>
      <c r="T1023"/>
      <c r="U1023"/>
      <c r="V1023"/>
      <c r="W1023"/>
      <c r="X1023"/>
      <c r="Y1023"/>
      <c r="Z1023"/>
      <c r="AA1023"/>
      <c r="AB1023"/>
      <c r="AC1023"/>
      <c r="AD1023"/>
      <c r="AE1023"/>
      <c r="AF1023"/>
      <c r="AG1023"/>
      <c r="AH1023"/>
      <c r="AI1023"/>
      <c r="AJ1023"/>
      <c r="AK1023"/>
      <c r="AL1023"/>
      <c r="AM1023"/>
      <c r="AN1023"/>
      <c r="AO1023"/>
      <c r="AP1023"/>
      <c r="AQ1023"/>
      <c r="AR1023"/>
      <c r="AS1023"/>
      <c r="AT1023"/>
      <c r="AU1023"/>
      <c r="AV1023"/>
      <c r="AW1023"/>
      <c r="AX1023"/>
      <c r="AY1023"/>
      <c r="AZ1023"/>
      <c r="BA1023"/>
      <c r="BB1023"/>
      <c r="BC1023"/>
      <c r="BD1023"/>
      <c r="BE1023"/>
      <c r="BF1023"/>
      <c r="BG1023"/>
      <c r="BH1023"/>
      <c r="BI1023"/>
      <c r="BJ1023"/>
      <c r="BK1023"/>
      <c r="BL1023"/>
      <c r="BM1023"/>
      <c r="BN1023"/>
      <c r="BO1023"/>
      <c r="BP1023"/>
      <c r="BQ1023"/>
      <c r="BR1023"/>
      <c r="BS1023"/>
      <c r="BT1023"/>
      <c r="BU1023"/>
      <c r="BV1023"/>
      <c r="BW1023"/>
    </row>
    <row r="1024" spans="1:408" s="42" customFormat="1">
      <c r="A1024" s="1" t="str">
        <f>IF(F1024&lt;&gt;"",1+MAX($A$1011:A1023),"")</f>
        <v/>
      </c>
      <c r="B1024" s="3"/>
      <c r="C1024" s="19"/>
      <c r="D1024" s="20"/>
      <c r="E1024" s="21"/>
      <c r="F1024" s="22"/>
      <c r="G1024" s="23"/>
      <c r="H1024" s="24"/>
      <c r="I1024" s="25"/>
      <c r="J1024" s="25"/>
      <c r="K1024" s="25"/>
      <c r="L1024" s="24"/>
      <c r="M1024" s="26"/>
      <c r="N1024" s="26"/>
      <c r="O1024" s="26"/>
      <c r="P1024"/>
      <c r="Q1024"/>
      <c r="R1024"/>
      <c r="S1024"/>
      <c r="T1024"/>
      <c r="U1024"/>
      <c r="V1024"/>
      <c r="W1024"/>
      <c r="X1024"/>
      <c r="Y1024"/>
      <c r="Z1024"/>
      <c r="AA1024"/>
      <c r="AB1024"/>
      <c r="AC1024"/>
      <c r="AD1024"/>
      <c r="AE1024"/>
      <c r="AF1024"/>
      <c r="AG1024"/>
      <c r="AH1024"/>
      <c r="AI1024"/>
      <c r="AJ1024"/>
      <c r="AK1024"/>
      <c r="AL1024"/>
      <c r="AM1024"/>
      <c r="AN1024"/>
      <c r="AO1024"/>
      <c r="AP1024"/>
      <c r="AQ1024"/>
      <c r="AR1024"/>
      <c r="AS1024"/>
      <c r="AT1024"/>
      <c r="AU1024"/>
      <c r="AV1024"/>
      <c r="AW1024"/>
      <c r="AX1024"/>
      <c r="AY1024"/>
      <c r="AZ1024"/>
      <c r="BA1024"/>
      <c r="BB1024"/>
      <c r="BC1024"/>
      <c r="BD1024"/>
      <c r="BE1024"/>
      <c r="BF1024"/>
      <c r="BG1024"/>
      <c r="BH1024"/>
      <c r="BI1024"/>
      <c r="BJ1024"/>
      <c r="BK1024"/>
      <c r="BL1024"/>
      <c r="BM1024"/>
      <c r="BN1024"/>
      <c r="BO1024"/>
      <c r="BP1024"/>
      <c r="BQ1024"/>
      <c r="BR1024"/>
      <c r="BS1024"/>
      <c r="BT1024"/>
      <c r="BU1024"/>
      <c r="BV1024"/>
      <c r="BW1024"/>
    </row>
    <row r="1025" spans="1:75" s="42" customFormat="1">
      <c r="A1025" s="1" t="str">
        <f>IF(F1025&lt;&gt;"",1+MAX($A$1011:A1024),"")</f>
        <v/>
      </c>
      <c r="B1025" s="3"/>
      <c r="C1025" s="19"/>
      <c r="D1025" s="20"/>
      <c r="E1025" s="21"/>
      <c r="F1025" s="22"/>
      <c r="G1025" s="23"/>
      <c r="H1025" s="24"/>
      <c r="I1025" s="25"/>
      <c r="J1025" s="25"/>
      <c r="K1025" s="25"/>
      <c r="L1025" s="24"/>
      <c r="M1025" s="24"/>
      <c r="N1025" s="26"/>
      <c r="O1025" s="26"/>
      <c r="P1025"/>
      <c r="Q1025"/>
      <c r="R1025"/>
      <c r="S1025"/>
      <c r="T1025"/>
      <c r="U1025"/>
      <c r="V1025"/>
      <c r="W1025"/>
      <c r="X1025"/>
      <c r="Y1025"/>
      <c r="Z1025"/>
      <c r="AA1025"/>
      <c r="AB1025"/>
      <c r="AC1025"/>
      <c r="AD1025"/>
      <c r="AE1025"/>
      <c r="AF1025"/>
      <c r="AG1025"/>
      <c r="AH1025"/>
      <c r="AI1025"/>
      <c r="AJ1025"/>
      <c r="AK1025"/>
      <c r="AL1025"/>
      <c r="AM1025"/>
      <c r="AN1025"/>
      <c r="AO1025"/>
      <c r="AP1025"/>
      <c r="AQ1025"/>
      <c r="AR1025"/>
      <c r="AS1025"/>
      <c r="AT1025"/>
      <c r="AU1025"/>
      <c r="AV1025"/>
      <c r="AW1025"/>
      <c r="AX1025"/>
      <c r="AY1025"/>
      <c r="AZ1025"/>
      <c r="BA1025"/>
      <c r="BB1025"/>
      <c r="BC1025"/>
      <c r="BD1025"/>
      <c r="BE1025"/>
      <c r="BF1025"/>
      <c r="BG1025"/>
      <c r="BH1025"/>
      <c r="BI1025"/>
      <c r="BJ1025"/>
      <c r="BK1025"/>
      <c r="BL1025"/>
      <c r="BM1025"/>
      <c r="BN1025"/>
      <c r="BO1025"/>
      <c r="BP1025"/>
      <c r="BQ1025"/>
      <c r="BR1025"/>
      <c r="BS1025"/>
      <c r="BT1025"/>
      <c r="BU1025"/>
      <c r="BV1025"/>
      <c r="BW1025"/>
    </row>
    <row r="1026" spans="1:75" s="42" customFormat="1">
      <c r="A1026" s="1" t="str">
        <f>IF(F1026&lt;&gt;"",1+MAX($A$1011:A1025),"")</f>
        <v/>
      </c>
      <c r="B1026" s="3"/>
      <c r="C1026" s="19"/>
      <c r="D1026" s="20"/>
      <c r="E1026" s="21"/>
      <c r="F1026" s="22"/>
      <c r="G1026" s="23"/>
      <c r="H1026" s="24"/>
      <c r="I1026" s="25"/>
      <c r="J1026" s="25"/>
      <c r="K1026" s="25"/>
      <c r="L1026" s="24"/>
      <c r="M1026" s="24"/>
      <c r="N1026" s="26"/>
      <c r="O1026" s="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  <c r="AG1026"/>
      <c r="AH1026"/>
      <c r="AI1026"/>
      <c r="AJ1026"/>
      <c r="AK1026"/>
      <c r="AL1026"/>
      <c r="AM1026"/>
      <c r="AN1026"/>
      <c r="AO1026"/>
      <c r="AP1026"/>
      <c r="AQ1026"/>
      <c r="AR1026"/>
      <c r="AS1026"/>
      <c r="AT1026"/>
      <c r="AU1026"/>
      <c r="AV1026"/>
      <c r="AW1026"/>
      <c r="AX1026"/>
      <c r="AY1026"/>
      <c r="AZ1026"/>
      <c r="BA1026"/>
      <c r="BB1026"/>
      <c r="BC1026"/>
      <c r="BD1026"/>
      <c r="BE1026"/>
      <c r="BF1026"/>
      <c r="BG1026"/>
      <c r="BH1026"/>
      <c r="BI1026"/>
      <c r="BJ1026"/>
      <c r="BK1026"/>
      <c r="BL1026"/>
      <c r="BM1026"/>
      <c r="BN1026"/>
      <c r="BO1026"/>
      <c r="BP1026"/>
      <c r="BQ1026"/>
      <c r="BR1026"/>
      <c r="BS1026"/>
      <c r="BT1026"/>
      <c r="BU1026"/>
      <c r="BV1026"/>
      <c r="BW1026"/>
    </row>
    <row r="1027" spans="1:75" s="42" customFormat="1">
      <c r="A1027" s="1" t="str">
        <f>IF(F1027&lt;&gt;"",1+MAX($A$1011:A1026),"")</f>
        <v/>
      </c>
      <c r="B1027" s="3"/>
      <c r="C1027" s="19"/>
      <c r="D1027" s="20"/>
      <c r="E1027" s="21"/>
      <c r="F1027" s="22"/>
      <c r="G1027" s="23"/>
      <c r="H1027" s="24"/>
      <c r="I1027" s="25"/>
      <c r="J1027" s="25"/>
      <c r="K1027" s="25"/>
      <c r="L1027" s="24"/>
      <c r="M1027" s="24"/>
      <c r="N1027" s="26"/>
      <c r="O1027" s="26"/>
      <c r="P1027"/>
      <c r="Q1027"/>
      <c r="R1027"/>
      <c r="S1027"/>
      <c r="T1027"/>
      <c r="U1027"/>
      <c r="V1027"/>
      <c r="W1027"/>
      <c r="X1027"/>
      <c r="Y1027"/>
      <c r="Z1027"/>
      <c r="AA1027"/>
      <c r="AB1027"/>
      <c r="AC1027"/>
      <c r="AD1027"/>
      <c r="AE1027"/>
      <c r="AF1027"/>
      <c r="AG1027"/>
      <c r="AH1027"/>
      <c r="AI1027"/>
      <c r="AJ1027"/>
      <c r="AK1027"/>
      <c r="AL1027"/>
      <c r="AM1027"/>
      <c r="AN1027"/>
      <c r="AO1027"/>
      <c r="AP1027"/>
      <c r="AQ1027"/>
      <c r="AR1027"/>
      <c r="AS1027"/>
      <c r="AT1027"/>
      <c r="AU1027"/>
      <c r="AV1027"/>
      <c r="AW1027"/>
      <c r="AX1027"/>
      <c r="AY1027"/>
      <c r="AZ1027"/>
      <c r="BA1027"/>
      <c r="BB1027"/>
      <c r="BC1027"/>
      <c r="BD1027"/>
      <c r="BE1027"/>
      <c r="BF1027"/>
      <c r="BG1027"/>
      <c r="BH1027"/>
      <c r="BI1027"/>
      <c r="BJ1027"/>
      <c r="BK1027"/>
      <c r="BL1027"/>
      <c r="BM1027"/>
      <c r="BN1027"/>
      <c r="BO1027"/>
      <c r="BP1027"/>
      <c r="BQ1027"/>
      <c r="BR1027"/>
      <c r="BS1027"/>
      <c r="BT1027"/>
      <c r="BU1027"/>
      <c r="BV1027"/>
      <c r="BW1027"/>
    </row>
    <row r="1028" spans="1:75" s="42" customFormat="1">
      <c r="A1028" s="1" t="str">
        <f>IF(F1028&lt;&gt;"",1+MAX($A$1011:A1027),"")</f>
        <v/>
      </c>
      <c r="B1028" s="3"/>
      <c r="C1028" s="19"/>
      <c r="D1028" s="20"/>
      <c r="E1028" s="21"/>
      <c r="F1028" s="22"/>
      <c r="G1028" s="23"/>
      <c r="H1028" s="24"/>
      <c r="I1028" s="25"/>
      <c r="J1028" s="25"/>
      <c r="K1028" s="25"/>
      <c r="L1028" s="24"/>
      <c r="M1028" s="24"/>
      <c r="N1028" s="26"/>
      <c r="O1028" s="26"/>
      <c r="P1028"/>
      <c r="Q1028"/>
      <c r="R1028"/>
      <c r="S1028"/>
      <c r="T1028"/>
      <c r="U1028"/>
      <c r="V1028"/>
      <c r="W1028"/>
      <c r="X1028"/>
      <c r="Y1028"/>
      <c r="Z1028"/>
      <c r="AA1028"/>
      <c r="AB1028"/>
      <c r="AC1028"/>
      <c r="AD1028"/>
      <c r="AE1028"/>
      <c r="AF1028"/>
      <c r="AG1028"/>
      <c r="AH1028"/>
      <c r="AI1028"/>
      <c r="AJ1028"/>
      <c r="AK1028"/>
      <c r="AL1028"/>
      <c r="AM1028"/>
      <c r="AN1028"/>
      <c r="AO1028"/>
      <c r="AP1028"/>
      <c r="AQ1028"/>
      <c r="AR1028"/>
      <c r="AS1028"/>
      <c r="AT1028"/>
      <c r="AU1028"/>
      <c r="AV1028"/>
      <c r="AW1028"/>
      <c r="AX1028"/>
      <c r="AY1028"/>
      <c r="AZ1028"/>
      <c r="BA1028"/>
      <c r="BB1028"/>
      <c r="BC1028"/>
      <c r="BD1028"/>
      <c r="BE1028"/>
      <c r="BF1028"/>
      <c r="BG1028"/>
      <c r="BH1028"/>
      <c r="BI1028"/>
      <c r="BJ1028"/>
      <c r="BK1028"/>
      <c r="BL1028"/>
      <c r="BM1028"/>
      <c r="BN1028"/>
      <c r="BO1028"/>
      <c r="BP1028"/>
      <c r="BQ1028"/>
      <c r="BR1028"/>
      <c r="BS1028"/>
      <c r="BT1028"/>
      <c r="BU1028"/>
      <c r="BV1028"/>
      <c r="BW1028"/>
    </row>
    <row r="1029" spans="1:75" s="42" customFormat="1">
      <c r="A1029" s="1" t="str">
        <f>IF(F1029&lt;&gt;"",1+MAX($A$1011:A1028),"")</f>
        <v/>
      </c>
      <c r="B1029" s="3"/>
      <c r="C1029" s="19"/>
      <c r="D1029" s="20"/>
      <c r="E1029" s="21"/>
      <c r="F1029" s="22"/>
      <c r="G1029" s="23"/>
      <c r="H1029" s="24"/>
      <c r="I1029" s="25"/>
      <c r="J1029" s="25"/>
      <c r="K1029" s="25"/>
      <c r="L1029" s="24"/>
      <c r="M1029" s="24"/>
      <c r="N1029" s="26"/>
      <c r="O1029" s="26"/>
      <c r="P1029"/>
      <c r="Q1029"/>
      <c r="R1029"/>
      <c r="S1029"/>
      <c r="T1029"/>
      <c r="U1029"/>
      <c r="V1029"/>
      <c r="W1029"/>
      <c r="X1029"/>
      <c r="Y1029"/>
      <c r="Z1029"/>
      <c r="AA1029"/>
      <c r="AB1029"/>
      <c r="AC1029"/>
      <c r="AD1029"/>
      <c r="AE1029"/>
      <c r="AF1029"/>
      <c r="AG1029"/>
      <c r="AH1029"/>
      <c r="AI1029"/>
      <c r="AJ1029"/>
      <c r="AK1029"/>
      <c r="AL1029"/>
      <c r="AM1029"/>
      <c r="AN1029"/>
      <c r="AO1029"/>
      <c r="AP1029"/>
      <c r="AQ1029"/>
      <c r="AR1029"/>
      <c r="AS1029"/>
      <c r="AT1029"/>
      <c r="AU1029"/>
      <c r="AV1029"/>
      <c r="AW1029"/>
      <c r="AX1029"/>
      <c r="AY1029"/>
      <c r="AZ1029"/>
      <c r="BA1029"/>
      <c r="BB1029"/>
      <c r="BC1029"/>
      <c r="BD1029"/>
      <c r="BE1029"/>
      <c r="BF1029"/>
      <c r="BG1029"/>
      <c r="BH1029"/>
      <c r="BI1029"/>
      <c r="BJ1029"/>
      <c r="BK1029"/>
      <c r="BL1029"/>
      <c r="BM1029"/>
      <c r="BN1029"/>
      <c r="BO1029"/>
      <c r="BP1029"/>
      <c r="BQ1029"/>
      <c r="BR1029"/>
      <c r="BS1029"/>
      <c r="BT1029"/>
      <c r="BU1029"/>
      <c r="BV1029"/>
      <c r="BW1029"/>
    </row>
    <row r="1030" spans="1:75" s="42" customFormat="1">
      <c r="A1030" s="1" t="str">
        <f>IF(F1030&lt;&gt;"",1+MAX($A$1011:A1029),"")</f>
        <v/>
      </c>
      <c r="B1030" s="3"/>
      <c r="C1030" s="19"/>
      <c r="D1030" s="20"/>
      <c r="E1030" s="21"/>
      <c r="F1030" s="22"/>
      <c r="G1030" s="23"/>
      <c r="H1030" s="24"/>
      <c r="I1030" s="25"/>
      <c r="J1030" s="25"/>
      <c r="K1030" s="25"/>
      <c r="L1030" s="24"/>
      <c r="M1030" s="24"/>
      <c r="N1030" s="26"/>
      <c r="O1030" s="26"/>
      <c r="P1030"/>
      <c r="Q1030"/>
      <c r="R1030"/>
      <c r="S1030"/>
      <c r="T1030"/>
      <c r="U1030"/>
      <c r="V1030"/>
      <c r="W1030"/>
      <c r="X1030"/>
      <c r="Y1030"/>
      <c r="Z1030"/>
      <c r="AA1030"/>
      <c r="AB1030"/>
      <c r="AC1030"/>
      <c r="AD1030"/>
      <c r="AE1030"/>
      <c r="AF1030"/>
      <c r="AG1030"/>
      <c r="AH1030"/>
      <c r="AI1030"/>
      <c r="AJ1030"/>
      <c r="AK1030"/>
      <c r="AL1030"/>
      <c r="AM1030"/>
      <c r="AN1030"/>
      <c r="AO1030"/>
      <c r="AP1030"/>
      <c r="AQ1030"/>
      <c r="AR1030"/>
      <c r="AS1030"/>
      <c r="AT1030"/>
      <c r="AU1030"/>
      <c r="AV1030"/>
      <c r="AW1030"/>
      <c r="AX1030"/>
      <c r="AY1030"/>
      <c r="AZ1030"/>
      <c r="BA1030"/>
      <c r="BB1030"/>
      <c r="BC1030"/>
      <c r="BD1030"/>
      <c r="BE1030"/>
      <c r="BF1030"/>
      <c r="BG1030"/>
      <c r="BH1030"/>
      <c r="BI1030"/>
      <c r="BJ1030"/>
      <c r="BK1030"/>
      <c r="BL1030"/>
      <c r="BM1030"/>
      <c r="BN1030"/>
      <c r="BO1030"/>
      <c r="BP1030"/>
      <c r="BQ1030"/>
      <c r="BR1030"/>
      <c r="BS1030"/>
      <c r="BT1030"/>
      <c r="BU1030"/>
      <c r="BV1030"/>
      <c r="BW1030"/>
    </row>
    <row r="1031" spans="1:75" s="42" customFormat="1">
      <c r="A1031" s="1" t="str">
        <f>IF(F1031&lt;&gt;"",1+MAX($A$1011:A1030),"")</f>
        <v/>
      </c>
      <c r="B1031" s="3"/>
      <c r="C1031" s="19"/>
      <c r="D1031" s="20"/>
      <c r="E1031" s="21"/>
      <c r="F1031" s="22"/>
      <c r="G1031" s="23"/>
      <c r="H1031" s="24"/>
      <c r="I1031" s="25"/>
      <c r="J1031" s="25"/>
      <c r="K1031" s="25"/>
      <c r="L1031" s="24"/>
      <c r="M1031" s="24"/>
      <c r="N1031" s="26"/>
      <c r="O1031" s="26"/>
      <c r="P1031"/>
      <c r="Q1031"/>
      <c r="R1031"/>
      <c r="S1031"/>
      <c r="T1031"/>
      <c r="U1031"/>
      <c r="V1031"/>
      <c r="W1031"/>
      <c r="X1031"/>
      <c r="Y1031"/>
      <c r="Z1031"/>
      <c r="AA1031"/>
      <c r="AB1031"/>
      <c r="AC1031"/>
      <c r="AD1031"/>
      <c r="AE1031"/>
      <c r="AF1031"/>
      <c r="AG1031"/>
      <c r="AH1031"/>
      <c r="AI1031"/>
      <c r="AJ1031"/>
      <c r="AK1031"/>
      <c r="AL1031"/>
      <c r="AM1031"/>
      <c r="AN1031"/>
      <c r="AO1031"/>
      <c r="AP1031"/>
      <c r="AQ1031"/>
      <c r="AR1031"/>
      <c r="AS1031"/>
      <c r="AT1031"/>
      <c r="AU1031"/>
      <c r="AV1031"/>
      <c r="AW1031"/>
      <c r="AX1031"/>
      <c r="AY1031"/>
      <c r="AZ1031"/>
      <c r="BA1031"/>
      <c r="BB1031"/>
      <c r="BC1031"/>
      <c r="BD1031"/>
      <c r="BE1031"/>
      <c r="BF1031"/>
      <c r="BG1031"/>
      <c r="BH1031"/>
      <c r="BI1031"/>
      <c r="BJ1031"/>
      <c r="BK1031"/>
      <c r="BL1031"/>
      <c r="BM1031"/>
      <c r="BN1031"/>
      <c r="BO1031"/>
      <c r="BP1031"/>
      <c r="BQ1031"/>
      <c r="BR1031"/>
      <c r="BS1031"/>
      <c r="BT1031"/>
      <c r="BU1031"/>
      <c r="BV1031"/>
      <c r="BW1031"/>
    </row>
    <row r="1032" spans="1:75" s="42" customFormat="1">
      <c r="A1032" s="1" t="str">
        <f>IF(F1032&lt;&gt;"",1+MAX($A$1011:A1031),"")</f>
        <v/>
      </c>
      <c r="B1032" s="3"/>
      <c r="C1032" s="19"/>
      <c r="D1032" s="20"/>
      <c r="E1032" s="21"/>
      <c r="F1032" s="22"/>
      <c r="G1032" s="23"/>
      <c r="H1032" s="24"/>
      <c r="I1032" s="25"/>
      <c r="J1032" s="25"/>
      <c r="K1032" s="25"/>
      <c r="L1032" s="24"/>
      <c r="M1032" s="24"/>
      <c r="N1032" s="24"/>
      <c r="O1032" s="24"/>
      <c r="P1032"/>
      <c r="Q1032"/>
      <c r="R1032"/>
      <c r="S1032"/>
      <c r="T1032"/>
      <c r="U1032"/>
      <c r="V1032"/>
      <c r="W1032"/>
      <c r="X1032"/>
      <c r="Y1032"/>
      <c r="Z1032"/>
      <c r="AA1032"/>
      <c r="AB1032"/>
      <c r="AC1032"/>
      <c r="AD1032"/>
      <c r="AE1032"/>
      <c r="AF1032"/>
      <c r="AG1032"/>
      <c r="AH1032"/>
      <c r="AI1032"/>
      <c r="AJ1032"/>
      <c r="AK1032"/>
      <c r="AL1032"/>
      <c r="AM1032"/>
      <c r="AN1032"/>
      <c r="AO1032"/>
      <c r="AP1032"/>
      <c r="AQ1032"/>
      <c r="AR1032"/>
      <c r="AS1032"/>
      <c r="AT1032"/>
      <c r="AU1032"/>
      <c r="AV1032"/>
      <c r="AW1032"/>
      <c r="AX1032"/>
      <c r="AY1032"/>
      <c r="AZ1032"/>
      <c r="BA1032"/>
      <c r="BB1032"/>
      <c r="BC1032"/>
      <c r="BD1032"/>
      <c r="BE1032"/>
      <c r="BF1032"/>
      <c r="BG1032"/>
      <c r="BH1032"/>
      <c r="BI1032"/>
      <c r="BJ1032"/>
      <c r="BK1032"/>
      <c r="BL1032"/>
      <c r="BM1032"/>
      <c r="BN1032"/>
      <c r="BO1032"/>
      <c r="BP1032"/>
      <c r="BQ1032"/>
      <c r="BR1032"/>
      <c r="BS1032"/>
      <c r="BT1032"/>
      <c r="BU1032"/>
      <c r="BV1032"/>
      <c r="BW1032"/>
    </row>
    <row r="1033" spans="1:75" s="42" customFormat="1">
      <c r="A1033" s="1" t="str">
        <f>IF(F1033&lt;&gt;"",1+MAX($A$1011:A1032),"")</f>
        <v/>
      </c>
      <c r="B1033" s="3"/>
      <c r="C1033" s="19"/>
      <c r="D1033" s="20"/>
      <c r="E1033" s="21"/>
      <c r="F1033" s="22"/>
      <c r="G1033" s="23"/>
      <c r="H1033" s="24"/>
      <c r="I1033" s="25"/>
      <c r="J1033" s="25"/>
      <c r="K1033" s="25"/>
      <c r="L1033" s="24"/>
      <c r="M1033" s="24"/>
      <c r="N1033" s="24"/>
      <c r="O1033" s="24"/>
      <c r="P1033"/>
      <c r="Q1033"/>
      <c r="R1033"/>
      <c r="S1033"/>
      <c r="T1033"/>
      <c r="U1033"/>
      <c r="V1033"/>
      <c r="W1033"/>
      <c r="X1033"/>
      <c r="Y1033"/>
      <c r="Z1033"/>
      <c r="AA1033"/>
      <c r="AB1033"/>
      <c r="AC1033"/>
      <c r="AD1033"/>
      <c r="AE1033"/>
      <c r="AF1033"/>
      <c r="AG1033"/>
      <c r="AH1033"/>
      <c r="AI1033"/>
      <c r="AJ1033"/>
      <c r="AK1033"/>
      <c r="AL1033"/>
      <c r="AM1033"/>
      <c r="AN1033"/>
      <c r="AO1033"/>
      <c r="AP1033"/>
      <c r="AQ1033"/>
      <c r="AR1033"/>
      <c r="AS1033"/>
      <c r="AT1033"/>
      <c r="AU1033"/>
      <c r="AV1033"/>
      <c r="AW1033"/>
      <c r="AX1033"/>
      <c r="AY1033"/>
      <c r="AZ1033"/>
      <c r="BA1033"/>
      <c r="BB1033"/>
      <c r="BC1033"/>
      <c r="BD1033"/>
      <c r="BE1033"/>
      <c r="BF1033"/>
      <c r="BG1033"/>
      <c r="BH1033"/>
      <c r="BI1033"/>
      <c r="BJ1033"/>
      <c r="BK1033"/>
      <c r="BL1033"/>
      <c r="BM1033"/>
      <c r="BN1033"/>
      <c r="BO1033"/>
      <c r="BP1033"/>
      <c r="BQ1033"/>
      <c r="BR1033"/>
      <c r="BS1033"/>
      <c r="BT1033"/>
      <c r="BU1033"/>
      <c r="BV1033"/>
      <c r="BW1033"/>
    </row>
    <row r="1034" spans="1:75" s="42" customFormat="1">
      <c r="A1034" s="1" t="str">
        <f>IF(F1034&lt;&gt;"",1+MAX($A$1011:A1033),"")</f>
        <v/>
      </c>
      <c r="B1034" s="3"/>
      <c r="C1034" s="19"/>
      <c r="D1034" s="20"/>
      <c r="E1034" s="21"/>
      <c r="F1034" s="22"/>
      <c r="G1034" s="23"/>
      <c r="H1034" s="24"/>
      <c r="I1034" s="25"/>
      <c r="J1034" s="25"/>
      <c r="K1034" s="25"/>
      <c r="L1034" s="24"/>
      <c r="M1034" s="24"/>
      <c r="N1034" s="24"/>
      <c r="O1034" s="24"/>
      <c r="P1034"/>
      <c r="Q1034"/>
      <c r="R1034"/>
      <c r="S1034"/>
      <c r="T1034"/>
      <c r="U1034"/>
      <c r="V1034"/>
      <c r="W1034"/>
      <c r="X1034"/>
      <c r="Y1034"/>
      <c r="Z1034"/>
      <c r="AA1034"/>
      <c r="AB1034"/>
      <c r="AC1034"/>
      <c r="AD1034"/>
      <c r="AE1034"/>
      <c r="AF1034"/>
      <c r="AG1034"/>
      <c r="AH1034"/>
      <c r="AI1034"/>
      <c r="AJ1034"/>
      <c r="AK1034"/>
      <c r="AL1034"/>
      <c r="AM1034"/>
      <c r="AN1034"/>
      <c r="AO1034"/>
      <c r="AP1034"/>
      <c r="AQ1034"/>
      <c r="AR1034"/>
      <c r="AS1034"/>
      <c r="AT1034"/>
      <c r="AU1034"/>
      <c r="AV1034"/>
      <c r="AW1034"/>
      <c r="AX1034"/>
      <c r="AY1034"/>
      <c r="AZ1034"/>
      <c r="BA1034"/>
      <c r="BB1034"/>
      <c r="BC1034"/>
      <c r="BD1034"/>
      <c r="BE1034"/>
      <c r="BF1034"/>
      <c r="BG1034"/>
      <c r="BH1034"/>
      <c r="BI1034"/>
      <c r="BJ1034"/>
      <c r="BK1034"/>
      <c r="BL1034"/>
      <c r="BM1034"/>
      <c r="BN1034"/>
      <c r="BO1034"/>
      <c r="BP1034"/>
      <c r="BQ1034"/>
      <c r="BR1034"/>
      <c r="BS1034"/>
      <c r="BT1034"/>
      <c r="BU1034"/>
      <c r="BV1034"/>
      <c r="BW1034"/>
    </row>
    <row r="1035" spans="1:75" s="42" customFormat="1">
      <c r="A1035" s="1" t="str">
        <f>IF(F1035&lt;&gt;"",1+MAX($A$1011:A1034),"")</f>
        <v/>
      </c>
      <c r="B1035" s="3"/>
      <c r="C1035" s="19"/>
      <c r="D1035" s="20"/>
      <c r="E1035" s="21"/>
      <c r="F1035" s="22"/>
      <c r="G1035" s="23"/>
      <c r="H1035" s="24"/>
      <c r="I1035" s="25"/>
      <c r="J1035" s="25"/>
      <c r="K1035" s="25"/>
      <c r="L1035" s="24"/>
      <c r="M1035" s="24"/>
      <c r="N1035" s="24"/>
      <c r="O1035" s="24"/>
      <c r="P1035"/>
      <c r="Q1035"/>
      <c r="R1035"/>
      <c r="S1035"/>
      <c r="T1035"/>
      <c r="U1035"/>
      <c r="V1035"/>
      <c r="W1035"/>
      <c r="X1035"/>
      <c r="Y1035"/>
      <c r="Z1035"/>
      <c r="AA1035"/>
      <c r="AB1035"/>
      <c r="AC1035"/>
      <c r="AD1035"/>
      <c r="AE1035"/>
      <c r="AF1035"/>
      <c r="AG1035"/>
      <c r="AH1035"/>
      <c r="AI1035"/>
      <c r="AJ1035"/>
      <c r="AK1035"/>
      <c r="AL1035"/>
      <c r="AM1035"/>
      <c r="AN1035"/>
      <c r="AO1035"/>
      <c r="AP1035"/>
      <c r="AQ1035"/>
      <c r="AR1035"/>
      <c r="AS1035"/>
      <c r="AT1035"/>
      <c r="AU1035"/>
      <c r="AV1035"/>
      <c r="AW1035"/>
      <c r="AX1035"/>
      <c r="AY1035"/>
      <c r="AZ1035"/>
      <c r="BA1035"/>
      <c r="BB1035"/>
      <c r="BC1035"/>
      <c r="BD1035"/>
      <c r="BE1035"/>
      <c r="BF1035"/>
      <c r="BG1035"/>
      <c r="BH1035"/>
      <c r="BI1035"/>
      <c r="BJ1035"/>
      <c r="BK1035"/>
      <c r="BL1035"/>
      <c r="BM1035"/>
      <c r="BN1035"/>
      <c r="BO1035"/>
      <c r="BP1035"/>
      <c r="BQ1035"/>
      <c r="BR1035"/>
      <c r="BS1035"/>
      <c r="BT1035"/>
      <c r="BU1035"/>
      <c r="BV1035"/>
      <c r="BW1035"/>
    </row>
    <row r="1036" spans="1:75" s="42" customFormat="1">
      <c r="A1036" s="1" t="str">
        <f>IF(F1036&lt;&gt;"",1+MAX($A$1011:A1035),"")</f>
        <v/>
      </c>
      <c r="B1036" s="3"/>
      <c r="C1036" s="19"/>
      <c r="D1036" s="20"/>
      <c r="E1036" s="21"/>
      <c r="F1036" s="22"/>
      <c r="G1036" s="23"/>
      <c r="H1036" s="24"/>
      <c r="I1036" s="25"/>
      <c r="J1036" s="25"/>
      <c r="K1036" s="25"/>
      <c r="L1036" s="24"/>
      <c r="M1036" s="24"/>
      <c r="N1036" s="24"/>
      <c r="O1036" s="24"/>
      <c r="P1036"/>
      <c r="Q1036"/>
      <c r="R1036"/>
      <c r="S1036"/>
      <c r="T1036"/>
      <c r="U1036"/>
      <c r="V1036"/>
      <c r="W1036"/>
      <c r="X1036"/>
      <c r="Y1036"/>
      <c r="Z1036"/>
      <c r="AA1036"/>
      <c r="AB1036"/>
      <c r="AC1036"/>
      <c r="AD1036"/>
      <c r="AE1036"/>
      <c r="AF1036"/>
      <c r="AG1036"/>
      <c r="AH1036"/>
      <c r="AI1036"/>
      <c r="AJ1036"/>
      <c r="AK1036"/>
      <c r="AL1036"/>
      <c r="AM1036"/>
      <c r="AN1036"/>
      <c r="AO1036"/>
      <c r="AP1036"/>
      <c r="AQ1036"/>
      <c r="AR1036"/>
      <c r="AS1036"/>
      <c r="AT1036"/>
      <c r="AU1036"/>
      <c r="AV1036"/>
      <c r="AW1036"/>
      <c r="AX1036"/>
      <c r="AY1036"/>
      <c r="AZ1036"/>
      <c r="BA1036"/>
      <c r="BB1036"/>
      <c r="BC1036"/>
      <c r="BD1036"/>
      <c r="BE1036"/>
      <c r="BF1036"/>
      <c r="BG1036"/>
      <c r="BH1036"/>
      <c r="BI1036"/>
      <c r="BJ1036"/>
      <c r="BK1036"/>
      <c r="BL1036"/>
      <c r="BM1036"/>
      <c r="BN1036"/>
      <c r="BO1036"/>
      <c r="BP1036"/>
      <c r="BQ1036"/>
      <c r="BR1036"/>
      <c r="BS1036"/>
      <c r="BT1036"/>
      <c r="BU1036"/>
      <c r="BV1036"/>
      <c r="BW1036"/>
    </row>
    <row r="1037" spans="1:75" s="42" customFormat="1">
      <c r="A1037" s="1" t="str">
        <f>IF(F1037&lt;&gt;"",1+MAX($A$1011:A1036),"")</f>
        <v/>
      </c>
      <c r="B1037" s="3"/>
      <c r="C1037" s="19"/>
      <c r="D1037" s="20"/>
      <c r="E1037" s="21"/>
      <c r="F1037" s="22"/>
      <c r="G1037" s="23"/>
      <c r="H1037" s="24"/>
      <c r="I1037" s="25"/>
      <c r="J1037" s="25"/>
      <c r="K1037" s="25"/>
      <c r="L1037" s="24"/>
      <c r="M1037" s="24"/>
      <c r="N1037" s="24"/>
      <c r="O1037" s="24"/>
      <c r="P1037"/>
      <c r="Q1037"/>
      <c r="R1037"/>
      <c r="S1037"/>
      <c r="T1037"/>
      <c r="U1037"/>
      <c r="V1037"/>
      <c r="W1037"/>
      <c r="X1037"/>
      <c r="Y1037"/>
      <c r="Z1037"/>
      <c r="AA1037"/>
      <c r="AB1037"/>
      <c r="AC1037"/>
      <c r="AD1037"/>
      <c r="AE1037"/>
      <c r="AF1037"/>
      <c r="AG1037"/>
      <c r="AH1037"/>
      <c r="AI1037"/>
      <c r="AJ1037"/>
      <c r="AK1037"/>
      <c r="AL1037"/>
      <c r="AM1037"/>
      <c r="AN1037"/>
      <c r="AO1037"/>
      <c r="AP1037"/>
      <c r="AQ1037"/>
      <c r="AR1037"/>
      <c r="AS1037"/>
      <c r="AT1037"/>
      <c r="AU1037"/>
      <c r="AV1037"/>
      <c r="AW1037"/>
      <c r="AX1037"/>
      <c r="AY1037"/>
      <c r="AZ1037"/>
      <c r="BA1037"/>
      <c r="BB1037"/>
      <c r="BC1037"/>
      <c r="BD1037"/>
      <c r="BE1037"/>
      <c r="BF1037"/>
      <c r="BG1037"/>
      <c r="BH1037"/>
      <c r="BI1037"/>
      <c r="BJ1037"/>
      <c r="BK1037"/>
      <c r="BL1037"/>
      <c r="BM1037"/>
      <c r="BN1037"/>
      <c r="BO1037"/>
      <c r="BP1037"/>
      <c r="BQ1037"/>
      <c r="BR1037"/>
      <c r="BS1037"/>
      <c r="BT1037"/>
      <c r="BU1037"/>
      <c r="BV1037"/>
      <c r="BW1037"/>
    </row>
    <row r="1038" spans="1:75" s="42" customFormat="1">
      <c r="A1038" s="1" t="str">
        <f>IF(F1038&lt;&gt;"",1+MAX($A$1011:A1037),"")</f>
        <v/>
      </c>
      <c r="B1038" s="3"/>
      <c r="C1038" s="19"/>
      <c r="D1038" s="20"/>
      <c r="E1038" s="21"/>
      <c r="F1038" s="22"/>
      <c r="G1038" s="23"/>
      <c r="H1038" s="24"/>
      <c r="I1038" s="25"/>
      <c r="J1038" s="25"/>
      <c r="K1038" s="25"/>
      <c r="L1038" s="24"/>
      <c r="M1038" s="24"/>
      <c r="N1038" s="24"/>
      <c r="O1038" s="24"/>
      <c r="P1038"/>
      <c r="Q1038"/>
      <c r="R1038"/>
      <c r="S1038"/>
      <c r="T1038"/>
      <c r="U1038"/>
      <c r="V1038"/>
      <c r="W1038"/>
      <c r="X1038"/>
      <c r="Y1038"/>
      <c r="Z1038"/>
      <c r="AA1038"/>
      <c r="AB1038"/>
      <c r="AC1038"/>
      <c r="AD1038"/>
      <c r="AE1038"/>
      <c r="AF1038"/>
      <c r="AG1038"/>
      <c r="AH1038"/>
      <c r="AI1038"/>
      <c r="AJ1038"/>
      <c r="AK1038"/>
      <c r="AL1038"/>
      <c r="AM1038"/>
      <c r="AN1038"/>
      <c r="AO1038"/>
      <c r="AP1038"/>
      <c r="AQ1038"/>
      <c r="AR1038"/>
      <c r="AS1038"/>
      <c r="AT1038"/>
      <c r="AU1038"/>
      <c r="AV1038"/>
      <c r="AW1038"/>
      <c r="AX1038"/>
      <c r="AY1038"/>
      <c r="AZ1038"/>
      <c r="BA1038"/>
      <c r="BB1038"/>
      <c r="BC1038"/>
      <c r="BD1038"/>
      <c r="BE1038"/>
      <c r="BF1038"/>
      <c r="BG1038"/>
      <c r="BH1038"/>
      <c r="BI1038"/>
      <c r="BJ1038"/>
      <c r="BK1038"/>
      <c r="BL1038"/>
      <c r="BM1038"/>
      <c r="BN1038"/>
      <c r="BO1038"/>
      <c r="BP1038"/>
      <c r="BQ1038"/>
      <c r="BR1038"/>
      <c r="BS1038"/>
      <c r="BT1038"/>
      <c r="BU1038"/>
      <c r="BV1038"/>
      <c r="BW1038"/>
    </row>
    <row r="1039" spans="1:75" s="42" customFormat="1">
      <c r="A1039" s="1" t="str">
        <f>IF(F1039&lt;&gt;"",1+MAX($A$1011:A1038),"")</f>
        <v/>
      </c>
      <c r="B1039" s="3"/>
      <c r="C1039" s="19"/>
      <c r="D1039" s="20"/>
      <c r="E1039" s="21"/>
      <c r="F1039" s="22"/>
      <c r="G1039" s="23"/>
      <c r="H1039" s="24"/>
      <c r="I1039" s="25"/>
      <c r="J1039" s="25"/>
      <c r="K1039" s="25"/>
      <c r="L1039" s="24"/>
      <c r="M1039" s="24"/>
      <c r="N1039" s="24"/>
      <c r="O1039" s="24"/>
      <c r="P1039"/>
      <c r="Q1039"/>
      <c r="R1039"/>
      <c r="S1039"/>
      <c r="T1039"/>
      <c r="U1039"/>
      <c r="V1039"/>
      <c r="W1039"/>
      <c r="X1039"/>
      <c r="Y1039"/>
      <c r="Z1039"/>
      <c r="AA1039"/>
      <c r="AB1039"/>
      <c r="AC1039"/>
      <c r="AD1039"/>
      <c r="AE1039"/>
      <c r="AF1039"/>
      <c r="AG1039"/>
      <c r="AH1039"/>
      <c r="AI1039"/>
      <c r="AJ1039"/>
      <c r="AK1039"/>
      <c r="AL1039"/>
      <c r="AM1039"/>
      <c r="AN1039"/>
      <c r="AO1039"/>
      <c r="AP1039"/>
      <c r="AQ1039"/>
      <c r="AR1039"/>
      <c r="AS1039"/>
      <c r="AT1039"/>
      <c r="AU1039"/>
      <c r="AV1039"/>
      <c r="AW1039"/>
      <c r="AX1039"/>
      <c r="AY1039"/>
      <c r="AZ1039"/>
      <c r="BA1039"/>
      <c r="BB1039"/>
      <c r="BC1039"/>
      <c r="BD1039"/>
      <c r="BE1039"/>
      <c r="BF1039"/>
      <c r="BG1039"/>
      <c r="BH1039"/>
      <c r="BI1039"/>
      <c r="BJ1039"/>
      <c r="BK1039"/>
      <c r="BL1039"/>
      <c r="BM1039"/>
      <c r="BN1039"/>
      <c r="BO1039"/>
      <c r="BP1039"/>
      <c r="BQ1039"/>
      <c r="BR1039"/>
      <c r="BS1039"/>
      <c r="BT1039"/>
      <c r="BU1039"/>
      <c r="BV1039"/>
      <c r="BW1039"/>
    </row>
    <row r="1040" spans="1:75" s="42" customFormat="1">
      <c r="A1040" s="1" t="str">
        <f>IF(F1040&lt;&gt;"",1+MAX($A$1011:A1039),"")</f>
        <v/>
      </c>
      <c r="B1040" s="3"/>
      <c r="C1040" s="19"/>
      <c r="D1040" s="20"/>
      <c r="E1040" s="21"/>
      <c r="F1040" s="22"/>
      <c r="G1040" s="23"/>
      <c r="H1040" s="24"/>
      <c r="I1040" s="25"/>
      <c r="J1040" s="25"/>
      <c r="K1040" s="25"/>
      <c r="L1040" s="24"/>
      <c r="M1040" s="24"/>
      <c r="N1040" s="24"/>
      <c r="O1040" s="24"/>
      <c r="P1040"/>
      <c r="Q1040"/>
      <c r="R1040"/>
      <c r="S1040"/>
      <c r="T1040"/>
      <c r="U1040"/>
      <c r="V1040"/>
      <c r="W1040"/>
      <c r="X1040"/>
      <c r="Y1040"/>
      <c r="Z1040"/>
      <c r="AA1040"/>
      <c r="AB1040"/>
      <c r="AC1040"/>
      <c r="AD1040"/>
      <c r="AE1040"/>
      <c r="AF1040"/>
      <c r="AG1040"/>
      <c r="AH1040"/>
      <c r="AI1040"/>
      <c r="AJ1040"/>
      <c r="AK1040"/>
      <c r="AL1040"/>
      <c r="AM1040"/>
      <c r="AN1040"/>
      <c r="AO1040"/>
      <c r="AP1040"/>
      <c r="AQ1040"/>
      <c r="AR1040"/>
      <c r="AS1040"/>
      <c r="AT1040"/>
      <c r="AU1040"/>
      <c r="AV1040"/>
      <c r="AW1040"/>
      <c r="AX1040"/>
      <c r="AY1040"/>
      <c r="AZ1040"/>
      <c r="BA1040"/>
      <c r="BB1040"/>
      <c r="BC1040"/>
      <c r="BD1040"/>
      <c r="BE1040"/>
      <c r="BF1040"/>
      <c r="BG1040"/>
      <c r="BH1040"/>
      <c r="BI1040"/>
      <c r="BJ1040"/>
      <c r="BK1040"/>
      <c r="BL1040"/>
      <c r="BM1040"/>
      <c r="BN1040"/>
      <c r="BO1040"/>
      <c r="BP1040"/>
      <c r="BQ1040"/>
      <c r="BR1040"/>
      <c r="BS1040"/>
      <c r="BT1040"/>
      <c r="BU1040"/>
      <c r="BV1040"/>
      <c r="BW1040"/>
    </row>
    <row r="1041" spans="1:75" s="42" customFormat="1">
      <c r="A1041" s="1" t="str">
        <f>IF(F1041&lt;&gt;"",1+MAX($A$1011:A1040),"")</f>
        <v/>
      </c>
      <c r="B1041" s="3"/>
      <c r="C1041" s="19"/>
      <c r="D1041" s="20"/>
      <c r="E1041" s="21"/>
      <c r="F1041" s="22"/>
      <c r="G1041" s="23"/>
      <c r="H1041" s="24"/>
      <c r="I1041" s="25"/>
      <c r="J1041" s="25"/>
      <c r="K1041" s="25"/>
      <c r="L1041" s="24"/>
      <c r="M1041" s="24"/>
      <c r="N1041" s="24"/>
      <c r="O1041" s="24"/>
      <c r="P1041"/>
      <c r="Q1041"/>
      <c r="R1041"/>
      <c r="S1041"/>
      <c r="T1041"/>
      <c r="U1041"/>
      <c r="V1041"/>
      <c r="W1041"/>
      <c r="X1041"/>
      <c r="Y1041"/>
      <c r="Z1041"/>
      <c r="AA1041"/>
      <c r="AB1041"/>
      <c r="AC1041"/>
      <c r="AD1041"/>
      <c r="AE1041"/>
      <c r="AF1041"/>
      <c r="AG1041"/>
      <c r="AH1041"/>
      <c r="AI1041"/>
      <c r="AJ1041"/>
      <c r="AK1041"/>
      <c r="AL1041"/>
      <c r="AM1041"/>
      <c r="AN1041"/>
      <c r="AO1041"/>
      <c r="AP1041"/>
      <c r="AQ1041"/>
      <c r="AR1041"/>
      <c r="AS1041"/>
      <c r="AT1041"/>
      <c r="AU1041"/>
      <c r="AV1041"/>
      <c r="AW1041"/>
      <c r="AX1041"/>
      <c r="AY1041"/>
      <c r="AZ1041"/>
      <c r="BA1041"/>
      <c r="BB1041"/>
      <c r="BC1041"/>
      <c r="BD1041"/>
      <c r="BE1041"/>
      <c r="BF1041"/>
      <c r="BG1041"/>
      <c r="BH1041"/>
      <c r="BI1041"/>
      <c r="BJ1041"/>
      <c r="BK1041"/>
      <c r="BL1041"/>
      <c r="BM1041"/>
      <c r="BN1041"/>
      <c r="BO1041"/>
      <c r="BP1041"/>
      <c r="BQ1041"/>
      <c r="BR1041"/>
      <c r="BS1041"/>
      <c r="BT1041"/>
      <c r="BU1041"/>
      <c r="BV1041"/>
      <c r="BW1041"/>
    </row>
    <row r="1042" spans="1:75" s="42" customFormat="1">
      <c r="A1042" s="1" t="str">
        <f>IF(F1042&lt;&gt;"",1+MAX($A$1011:A1041),"")</f>
        <v/>
      </c>
      <c r="B1042" s="3"/>
      <c r="C1042" s="19"/>
      <c r="D1042" s="20"/>
      <c r="E1042" s="21"/>
      <c r="F1042" s="22"/>
      <c r="G1042" s="23"/>
      <c r="H1042" s="24"/>
      <c r="I1042" s="25"/>
      <c r="J1042" s="25"/>
      <c r="K1042" s="25"/>
      <c r="L1042" s="24"/>
      <c r="M1042" s="24"/>
      <c r="N1042" s="24"/>
      <c r="O1042" s="24"/>
      <c r="P1042"/>
      <c r="Q1042"/>
      <c r="R1042"/>
      <c r="S1042"/>
      <c r="T1042"/>
      <c r="U1042"/>
      <c r="V1042"/>
      <c r="W1042"/>
      <c r="X1042"/>
      <c r="Y1042"/>
      <c r="Z1042"/>
      <c r="AA1042"/>
      <c r="AB1042"/>
      <c r="AC1042"/>
      <c r="AD1042"/>
      <c r="AE1042"/>
      <c r="AF1042"/>
      <c r="AG1042"/>
      <c r="AH1042"/>
      <c r="AI1042"/>
      <c r="AJ1042"/>
      <c r="AK1042"/>
      <c r="AL1042"/>
      <c r="AM1042"/>
      <c r="AN1042"/>
      <c r="AO1042"/>
      <c r="AP1042"/>
      <c r="AQ1042"/>
      <c r="AR1042"/>
      <c r="AS1042"/>
      <c r="AT1042"/>
      <c r="AU1042"/>
      <c r="AV1042"/>
      <c r="AW1042"/>
      <c r="AX1042"/>
      <c r="AY1042"/>
      <c r="AZ1042"/>
      <c r="BA1042"/>
      <c r="BB1042"/>
      <c r="BC1042"/>
      <c r="BD1042"/>
      <c r="BE1042"/>
      <c r="BF1042"/>
      <c r="BG1042"/>
      <c r="BH1042"/>
      <c r="BI1042"/>
      <c r="BJ1042"/>
      <c r="BK1042"/>
      <c r="BL1042"/>
      <c r="BM1042"/>
      <c r="BN1042"/>
      <c r="BO1042"/>
      <c r="BP1042"/>
      <c r="BQ1042"/>
      <c r="BR1042"/>
      <c r="BS1042"/>
      <c r="BT1042"/>
      <c r="BU1042"/>
      <c r="BV1042"/>
      <c r="BW1042"/>
    </row>
    <row r="1043" spans="1:75" s="42" customFormat="1">
      <c r="A1043" s="1" t="str">
        <f>IF(F1043&lt;&gt;"",1+MAX($A$1011:A1042),"")</f>
        <v/>
      </c>
      <c r="B1043" s="3"/>
      <c r="C1043" s="19"/>
      <c r="D1043" s="20"/>
      <c r="E1043" s="21"/>
      <c r="F1043" s="22"/>
      <c r="G1043" s="23"/>
      <c r="H1043" s="24"/>
      <c r="I1043" s="25"/>
      <c r="J1043" s="25"/>
      <c r="K1043" s="25"/>
      <c r="L1043" s="24"/>
      <c r="M1043" s="24"/>
      <c r="N1043" s="24"/>
      <c r="O1043" s="24"/>
      <c r="P1043"/>
      <c r="Q1043"/>
      <c r="R1043"/>
      <c r="S1043"/>
      <c r="T1043"/>
      <c r="U1043"/>
      <c r="V1043"/>
      <c r="W1043"/>
      <c r="X1043"/>
      <c r="Y1043"/>
      <c r="Z1043"/>
      <c r="AA1043"/>
      <c r="AB1043"/>
      <c r="AC1043"/>
      <c r="AD1043"/>
      <c r="AE1043"/>
      <c r="AF1043"/>
      <c r="AG1043"/>
      <c r="AH1043"/>
      <c r="AI1043"/>
      <c r="AJ1043"/>
      <c r="AK1043"/>
      <c r="AL1043"/>
      <c r="AM1043"/>
      <c r="AN1043"/>
      <c r="AO1043"/>
      <c r="AP1043"/>
      <c r="AQ1043"/>
      <c r="AR1043"/>
      <c r="AS1043"/>
      <c r="AT1043"/>
      <c r="AU1043"/>
      <c r="AV1043"/>
      <c r="AW1043"/>
      <c r="AX1043"/>
      <c r="AY1043"/>
      <c r="AZ1043"/>
      <c r="BA1043"/>
      <c r="BB1043"/>
      <c r="BC1043"/>
      <c r="BD1043"/>
      <c r="BE1043"/>
      <c r="BF1043"/>
      <c r="BG1043"/>
      <c r="BH1043"/>
      <c r="BI1043"/>
      <c r="BJ1043"/>
      <c r="BK1043"/>
      <c r="BL1043"/>
      <c r="BM1043"/>
      <c r="BN1043"/>
      <c r="BO1043"/>
      <c r="BP1043"/>
      <c r="BQ1043"/>
      <c r="BR1043"/>
      <c r="BS1043"/>
      <c r="BT1043"/>
      <c r="BU1043"/>
      <c r="BV1043"/>
      <c r="BW1043"/>
    </row>
    <row r="1044" spans="1:75" s="42" customFormat="1">
      <c r="A1044" s="1" t="str">
        <f>IF(F1044&lt;&gt;"",1+MAX($A$1011:A1043),"")</f>
        <v/>
      </c>
      <c r="B1044" s="3"/>
      <c r="C1044" s="19"/>
      <c r="D1044" s="20"/>
      <c r="E1044" s="21"/>
      <c r="F1044" s="22"/>
      <c r="G1044" s="23"/>
      <c r="H1044" s="24"/>
      <c r="I1044" s="25"/>
      <c r="J1044" s="25"/>
      <c r="K1044" s="25"/>
      <c r="L1044" s="24"/>
      <c r="M1044" s="24"/>
      <c r="N1044" s="24"/>
      <c r="O1044" s="24"/>
      <c r="P1044"/>
      <c r="Q1044"/>
      <c r="R1044"/>
      <c r="S1044"/>
      <c r="T1044"/>
      <c r="U1044"/>
      <c r="V1044"/>
      <c r="W1044"/>
      <c r="X1044"/>
      <c r="Y1044"/>
      <c r="Z1044"/>
      <c r="AA1044"/>
      <c r="AB1044"/>
      <c r="AC1044"/>
      <c r="AD1044"/>
      <c r="AE1044"/>
      <c r="AF1044"/>
      <c r="AG1044"/>
      <c r="AH1044"/>
      <c r="AI1044"/>
      <c r="AJ1044"/>
      <c r="AK1044"/>
      <c r="AL1044"/>
      <c r="AM1044"/>
      <c r="AN1044"/>
      <c r="AO1044"/>
      <c r="AP1044"/>
      <c r="AQ1044"/>
      <c r="AR1044"/>
      <c r="AS1044"/>
      <c r="AT1044"/>
      <c r="AU1044"/>
      <c r="AV1044"/>
      <c r="AW1044"/>
      <c r="AX1044"/>
      <c r="AY1044"/>
      <c r="AZ1044"/>
      <c r="BA1044"/>
      <c r="BB1044"/>
      <c r="BC1044"/>
      <c r="BD1044"/>
      <c r="BE1044"/>
      <c r="BF1044"/>
      <c r="BG1044"/>
      <c r="BH1044"/>
      <c r="BI1044"/>
      <c r="BJ1044"/>
      <c r="BK1044"/>
      <c r="BL1044"/>
      <c r="BM1044"/>
      <c r="BN1044"/>
      <c r="BO1044"/>
      <c r="BP1044"/>
      <c r="BQ1044"/>
      <c r="BR1044"/>
      <c r="BS1044"/>
      <c r="BT1044"/>
      <c r="BU1044"/>
      <c r="BV1044"/>
      <c r="BW1044"/>
    </row>
    <row r="1045" spans="1:75" s="42" customFormat="1">
      <c r="A1045" s="1" t="str">
        <f>IF(F1045&lt;&gt;"",1+MAX($A$1011:A1044),"")</f>
        <v/>
      </c>
      <c r="B1045" s="3"/>
      <c r="C1045" s="19"/>
      <c r="D1045" s="20"/>
      <c r="E1045" s="21"/>
      <c r="F1045" s="22"/>
      <c r="G1045" s="23"/>
      <c r="H1045" s="24"/>
      <c r="I1045" s="25"/>
      <c r="J1045" s="25"/>
      <c r="K1045" s="25"/>
      <c r="L1045" s="24"/>
      <c r="M1045" s="24"/>
      <c r="N1045" s="24"/>
      <c r="O1045" s="24"/>
      <c r="P1045"/>
      <c r="Q1045"/>
      <c r="R1045"/>
      <c r="S1045"/>
      <c r="T1045"/>
      <c r="U1045"/>
      <c r="V1045"/>
      <c r="W1045"/>
      <c r="X1045"/>
      <c r="Y1045"/>
      <c r="Z1045"/>
      <c r="AA1045"/>
      <c r="AB1045"/>
      <c r="AC1045"/>
      <c r="AD1045"/>
      <c r="AE1045"/>
      <c r="AF1045"/>
      <c r="AG1045"/>
      <c r="AH1045"/>
      <c r="AI1045"/>
      <c r="AJ1045"/>
      <c r="AK1045"/>
      <c r="AL1045"/>
      <c r="AM1045"/>
      <c r="AN1045"/>
      <c r="AO1045"/>
      <c r="AP1045"/>
      <c r="AQ1045"/>
      <c r="AR1045"/>
      <c r="AS1045"/>
      <c r="AT1045"/>
      <c r="AU1045"/>
      <c r="AV1045"/>
      <c r="AW1045"/>
      <c r="AX1045"/>
      <c r="AY1045"/>
      <c r="AZ1045"/>
      <c r="BA1045"/>
      <c r="BB1045"/>
      <c r="BC1045"/>
      <c r="BD1045"/>
      <c r="BE1045"/>
      <c r="BF1045"/>
      <c r="BG1045"/>
      <c r="BH1045"/>
      <c r="BI1045"/>
      <c r="BJ1045"/>
      <c r="BK1045"/>
      <c r="BL1045"/>
      <c r="BM1045"/>
      <c r="BN1045"/>
      <c r="BO1045"/>
      <c r="BP1045"/>
      <c r="BQ1045"/>
      <c r="BR1045"/>
      <c r="BS1045"/>
      <c r="BT1045"/>
      <c r="BU1045"/>
      <c r="BV1045"/>
      <c r="BW1045"/>
    </row>
    <row r="1046" spans="1:75" s="42" customFormat="1">
      <c r="A1046" s="1" t="str">
        <f>IF(F1046&lt;&gt;"",1+MAX($A$1011:A1045),"")</f>
        <v/>
      </c>
      <c r="B1046" s="3"/>
      <c r="C1046" s="19"/>
      <c r="D1046" s="20"/>
      <c r="E1046" s="21"/>
      <c r="F1046" s="22"/>
      <c r="G1046" s="23"/>
      <c r="H1046" s="24"/>
      <c r="I1046" s="25"/>
      <c r="J1046" s="25"/>
      <c r="K1046" s="25"/>
      <c r="L1046" s="24"/>
      <c r="M1046" s="24"/>
      <c r="N1046" s="24"/>
      <c r="O1046" s="24"/>
      <c r="P1046"/>
      <c r="Q1046"/>
      <c r="R1046"/>
      <c r="S1046"/>
      <c r="T1046"/>
      <c r="U1046"/>
      <c r="V1046"/>
      <c r="W1046"/>
      <c r="X1046"/>
      <c r="Y1046"/>
      <c r="Z1046"/>
      <c r="AA1046"/>
      <c r="AB1046"/>
      <c r="AC1046"/>
      <c r="AD1046"/>
      <c r="AE1046"/>
      <c r="AF1046"/>
      <c r="AG1046"/>
      <c r="AH1046"/>
      <c r="AI1046"/>
      <c r="AJ1046"/>
      <c r="AK1046"/>
      <c r="AL1046"/>
      <c r="AM1046"/>
      <c r="AN1046"/>
      <c r="AO1046"/>
      <c r="AP1046"/>
      <c r="AQ1046"/>
      <c r="AR1046"/>
      <c r="AS1046"/>
      <c r="AT1046"/>
      <c r="AU1046"/>
      <c r="AV1046"/>
      <c r="AW1046"/>
      <c r="AX1046"/>
      <c r="AY1046"/>
      <c r="AZ1046"/>
      <c r="BA1046"/>
      <c r="BB1046"/>
      <c r="BC1046"/>
      <c r="BD1046"/>
      <c r="BE1046"/>
      <c r="BF1046"/>
      <c r="BG1046"/>
      <c r="BH1046"/>
      <c r="BI1046"/>
      <c r="BJ1046"/>
      <c r="BK1046"/>
      <c r="BL1046"/>
      <c r="BM1046"/>
      <c r="BN1046"/>
      <c r="BO1046"/>
      <c r="BP1046"/>
      <c r="BQ1046"/>
      <c r="BR1046"/>
      <c r="BS1046"/>
      <c r="BT1046"/>
      <c r="BU1046"/>
      <c r="BV1046"/>
      <c r="BW1046"/>
    </row>
    <row r="1047" spans="1:75" s="42" customFormat="1">
      <c r="A1047" s="1" t="str">
        <f>IF(F1047&lt;&gt;"",1+MAX($A$1011:A1046),"")</f>
        <v/>
      </c>
      <c r="B1047" s="3"/>
      <c r="C1047" s="19"/>
      <c r="D1047" s="20"/>
      <c r="E1047" s="21"/>
      <c r="F1047" s="22"/>
      <c r="G1047" s="23"/>
      <c r="H1047" s="24"/>
      <c r="I1047" s="25"/>
      <c r="J1047" s="25"/>
      <c r="K1047" s="25"/>
      <c r="L1047" s="24"/>
      <c r="M1047" s="24"/>
      <c r="N1047" s="24"/>
      <c r="O1047" s="24"/>
      <c r="P1047"/>
      <c r="Q1047"/>
      <c r="R1047"/>
      <c r="S1047"/>
      <c r="T1047"/>
      <c r="U1047"/>
      <c r="V1047"/>
      <c r="W1047"/>
      <c r="X1047"/>
      <c r="Y1047"/>
      <c r="Z1047"/>
      <c r="AA1047"/>
      <c r="AB1047"/>
      <c r="AC1047"/>
      <c r="AD1047"/>
      <c r="AE1047"/>
      <c r="AF1047"/>
      <c r="AG1047"/>
      <c r="AH1047"/>
      <c r="AI1047"/>
      <c r="AJ1047"/>
      <c r="AK1047"/>
      <c r="AL1047"/>
      <c r="AM1047"/>
      <c r="AN1047"/>
      <c r="AO1047"/>
      <c r="AP1047"/>
      <c r="AQ1047"/>
      <c r="AR1047"/>
      <c r="AS1047"/>
      <c r="AT1047"/>
      <c r="AU1047"/>
      <c r="AV1047"/>
      <c r="AW1047"/>
      <c r="AX1047"/>
      <c r="AY1047"/>
      <c r="AZ1047"/>
      <c r="BA1047"/>
      <c r="BB1047"/>
      <c r="BC1047"/>
      <c r="BD1047"/>
      <c r="BE1047"/>
      <c r="BF1047"/>
      <c r="BG1047"/>
      <c r="BH1047"/>
      <c r="BI1047"/>
      <c r="BJ1047"/>
      <c r="BK1047"/>
      <c r="BL1047"/>
      <c r="BM1047"/>
      <c r="BN1047"/>
      <c r="BO1047"/>
      <c r="BP1047"/>
      <c r="BQ1047"/>
      <c r="BR1047"/>
      <c r="BS1047"/>
      <c r="BT1047"/>
      <c r="BU1047"/>
      <c r="BV1047"/>
      <c r="BW1047"/>
    </row>
    <row r="1048" spans="1:75" s="42" customFormat="1">
      <c r="A1048" s="1" t="str">
        <f>IF(F1048&lt;&gt;"",1+MAX($A$1011:A1047),"")</f>
        <v/>
      </c>
      <c r="B1048" s="3"/>
      <c r="C1048" s="4"/>
      <c r="D1048" s="5"/>
      <c r="E1048"/>
      <c r="F1048" s="6"/>
      <c r="G1048"/>
      <c r="H1048" s="7"/>
      <c r="I1048" s="8"/>
      <c r="J1048" s="8"/>
      <c r="K1048" s="8"/>
      <c r="L1048"/>
      <c r="M1048"/>
      <c r="N1048" s="24"/>
      <c r="O1048" s="24"/>
      <c r="P1048"/>
      <c r="Q1048"/>
      <c r="R1048"/>
      <c r="S1048"/>
      <c r="T1048"/>
      <c r="U1048"/>
      <c r="V1048"/>
      <c r="W1048"/>
      <c r="X1048"/>
      <c r="Y1048"/>
      <c r="Z1048"/>
      <c r="AA1048"/>
      <c r="AB1048"/>
      <c r="AC1048"/>
      <c r="AD1048"/>
      <c r="AE1048"/>
      <c r="AF1048"/>
      <c r="AG1048"/>
      <c r="AH1048"/>
      <c r="AI1048"/>
      <c r="AJ1048"/>
      <c r="AK1048"/>
      <c r="AL1048"/>
      <c r="AM1048"/>
      <c r="AN1048"/>
      <c r="AO1048"/>
      <c r="AP1048"/>
      <c r="AQ1048"/>
      <c r="AR1048"/>
      <c r="AS1048"/>
      <c r="AT1048"/>
      <c r="AU1048"/>
      <c r="AV1048"/>
      <c r="AW1048"/>
      <c r="AX1048"/>
      <c r="AY1048"/>
      <c r="AZ1048"/>
      <c r="BA1048"/>
      <c r="BB1048"/>
      <c r="BC1048"/>
      <c r="BD1048"/>
      <c r="BE1048"/>
      <c r="BF1048"/>
      <c r="BG1048"/>
      <c r="BH1048"/>
      <c r="BI1048"/>
      <c r="BJ1048"/>
      <c r="BK1048"/>
      <c r="BL1048"/>
      <c r="BM1048"/>
      <c r="BN1048"/>
      <c r="BO1048"/>
      <c r="BP1048"/>
      <c r="BQ1048"/>
      <c r="BR1048"/>
      <c r="BS1048"/>
      <c r="BT1048"/>
      <c r="BU1048"/>
      <c r="BV1048"/>
      <c r="BW1048"/>
    </row>
    <row r="1049" spans="1:75" s="42" customFormat="1">
      <c r="A1049" s="1" t="str">
        <f>IF(F1049&lt;&gt;"",1+MAX($A$1011:A1048),"")</f>
        <v/>
      </c>
      <c r="B1049" s="3"/>
      <c r="C1049" s="4"/>
      <c r="D1049" s="5"/>
      <c r="E1049"/>
      <c r="F1049" s="6"/>
      <c r="G1049"/>
      <c r="H1049" s="7"/>
      <c r="I1049" s="8"/>
      <c r="J1049" s="8"/>
      <c r="K1049" s="8"/>
      <c r="L1049"/>
      <c r="M1049"/>
      <c r="N1049" s="24"/>
      <c r="O1049" s="24"/>
      <c r="P1049"/>
      <c r="Q1049"/>
      <c r="R1049"/>
      <c r="S1049"/>
      <c r="T1049"/>
      <c r="U1049"/>
      <c r="V1049"/>
      <c r="W1049"/>
      <c r="X1049"/>
      <c r="Y1049"/>
      <c r="Z1049"/>
      <c r="AA1049"/>
      <c r="AB1049"/>
      <c r="AC1049"/>
      <c r="AD1049"/>
      <c r="AE1049"/>
      <c r="AF1049"/>
      <c r="AG1049"/>
      <c r="AH1049"/>
      <c r="AI1049"/>
      <c r="AJ1049"/>
      <c r="AK1049"/>
      <c r="AL1049"/>
      <c r="AM1049"/>
      <c r="AN1049"/>
      <c r="AO1049"/>
      <c r="AP1049"/>
      <c r="AQ1049"/>
      <c r="AR1049"/>
      <c r="AS1049"/>
      <c r="AT1049"/>
      <c r="AU1049"/>
      <c r="AV1049"/>
      <c r="AW1049"/>
      <c r="AX1049"/>
      <c r="AY1049"/>
      <c r="AZ1049"/>
      <c r="BA1049"/>
      <c r="BB1049"/>
      <c r="BC1049"/>
      <c r="BD1049"/>
      <c r="BE1049"/>
      <c r="BF1049"/>
      <c r="BG1049"/>
      <c r="BH1049"/>
      <c r="BI1049"/>
      <c r="BJ1049"/>
      <c r="BK1049"/>
      <c r="BL1049"/>
      <c r="BM1049"/>
      <c r="BN1049"/>
      <c r="BO1049"/>
      <c r="BP1049"/>
      <c r="BQ1049"/>
      <c r="BR1049"/>
      <c r="BS1049"/>
      <c r="BT1049"/>
      <c r="BU1049"/>
      <c r="BV1049"/>
      <c r="BW1049"/>
    </row>
    <row r="1050" spans="1:75" s="42" customFormat="1">
      <c r="A1050" s="1" t="str">
        <f>IF(F1050&lt;&gt;"",1+MAX($A$1011:A1049),"")</f>
        <v/>
      </c>
      <c r="B1050" s="3"/>
      <c r="C1050" s="4"/>
      <c r="D1050" s="5"/>
      <c r="E1050"/>
      <c r="F1050" s="6"/>
      <c r="G1050"/>
      <c r="H1050" s="7"/>
      <c r="I1050" s="8"/>
      <c r="J1050" s="8"/>
      <c r="K1050" s="8"/>
      <c r="L1050"/>
      <c r="M1050"/>
      <c r="N1050" s="24"/>
      <c r="O1050" s="24"/>
      <c r="P1050"/>
      <c r="Q1050"/>
      <c r="R1050"/>
      <c r="S1050"/>
      <c r="T1050"/>
      <c r="U1050"/>
      <c r="V1050"/>
      <c r="W1050"/>
      <c r="X1050"/>
      <c r="Y1050"/>
      <c r="Z1050"/>
      <c r="AA1050"/>
      <c r="AB1050"/>
      <c r="AC1050"/>
      <c r="AD1050"/>
      <c r="AE1050"/>
      <c r="AF1050"/>
      <c r="AG1050"/>
      <c r="AH1050"/>
      <c r="AI1050"/>
      <c r="AJ1050"/>
      <c r="AK1050"/>
      <c r="AL1050"/>
      <c r="AM1050"/>
      <c r="AN1050"/>
      <c r="AO1050"/>
      <c r="AP1050"/>
      <c r="AQ1050"/>
      <c r="AR1050"/>
      <c r="AS1050"/>
      <c r="AT1050"/>
      <c r="AU1050"/>
      <c r="AV1050"/>
      <c r="AW1050"/>
      <c r="AX1050"/>
      <c r="AY1050"/>
      <c r="AZ1050"/>
      <c r="BA1050"/>
      <c r="BB1050"/>
      <c r="BC1050"/>
      <c r="BD1050"/>
      <c r="BE1050"/>
      <c r="BF1050"/>
      <c r="BG1050"/>
      <c r="BH1050"/>
      <c r="BI1050"/>
      <c r="BJ1050"/>
      <c r="BK1050"/>
      <c r="BL1050"/>
      <c r="BM1050"/>
      <c r="BN1050"/>
      <c r="BO1050"/>
      <c r="BP1050"/>
      <c r="BQ1050"/>
      <c r="BR1050"/>
      <c r="BS1050"/>
      <c r="BT1050"/>
      <c r="BU1050"/>
      <c r="BV1050"/>
      <c r="BW1050"/>
    </row>
    <row r="1051" spans="1:75" s="42" customFormat="1">
      <c r="A1051" s="1" t="str">
        <f>IF(F1051&lt;&gt;"",1+MAX($A$1011:A1050),"")</f>
        <v/>
      </c>
      <c r="B1051" s="3"/>
      <c r="C1051" s="4"/>
      <c r="D1051" s="5"/>
      <c r="E1051"/>
      <c r="F1051" s="6"/>
      <c r="G1051"/>
      <c r="H1051" s="7"/>
      <c r="I1051" s="8"/>
      <c r="J1051" s="8"/>
      <c r="K1051" s="8"/>
      <c r="L1051"/>
      <c r="M1051"/>
      <c r="N1051" s="24"/>
      <c r="O1051" s="24"/>
      <c r="P1051"/>
      <c r="Q1051"/>
      <c r="R1051"/>
      <c r="S1051"/>
      <c r="T1051"/>
      <c r="U1051"/>
      <c r="V1051"/>
      <c r="W1051"/>
      <c r="X1051"/>
      <c r="Y1051"/>
      <c r="Z1051"/>
      <c r="AA1051"/>
      <c r="AB1051"/>
      <c r="AC1051"/>
      <c r="AD1051"/>
      <c r="AE1051"/>
      <c r="AF1051"/>
      <c r="AG1051"/>
      <c r="AH1051"/>
      <c r="AI1051"/>
      <c r="AJ1051"/>
      <c r="AK1051"/>
      <c r="AL1051"/>
      <c r="AM1051"/>
      <c r="AN1051"/>
      <c r="AO1051"/>
      <c r="AP1051"/>
      <c r="AQ1051"/>
      <c r="AR1051"/>
      <c r="AS1051"/>
      <c r="AT1051"/>
      <c r="AU1051"/>
      <c r="AV1051"/>
      <c r="AW1051"/>
      <c r="AX1051"/>
      <c r="AY1051"/>
      <c r="AZ1051"/>
      <c r="BA1051"/>
      <c r="BB1051"/>
      <c r="BC1051"/>
      <c r="BD1051"/>
      <c r="BE1051"/>
      <c r="BF1051"/>
      <c r="BG1051"/>
      <c r="BH1051"/>
      <c r="BI1051"/>
      <c r="BJ1051"/>
      <c r="BK1051"/>
      <c r="BL1051"/>
      <c r="BM1051"/>
      <c r="BN1051"/>
      <c r="BO1051"/>
      <c r="BP1051"/>
      <c r="BQ1051"/>
      <c r="BR1051"/>
      <c r="BS1051"/>
      <c r="BT1051"/>
      <c r="BU1051"/>
      <c r="BV1051"/>
      <c r="BW1051"/>
    </row>
    <row r="1052" spans="1:75" s="42" customFormat="1">
      <c r="A1052" s="1" t="str">
        <f>IF(F1052&lt;&gt;"",1+MAX($A$1011:A1051),"")</f>
        <v/>
      </c>
      <c r="B1052" s="3"/>
      <c r="C1052" s="4"/>
      <c r="D1052" s="5"/>
      <c r="E1052"/>
      <c r="F1052" s="6"/>
      <c r="G1052"/>
      <c r="H1052" s="7"/>
      <c r="I1052" s="8"/>
      <c r="J1052" s="8"/>
      <c r="K1052" s="8"/>
      <c r="L1052"/>
      <c r="M1052"/>
      <c r="N1052" s="24"/>
      <c r="O1052" s="24"/>
      <c r="P1052"/>
      <c r="Q1052"/>
      <c r="R1052"/>
      <c r="S1052"/>
      <c r="T1052"/>
      <c r="U1052"/>
      <c r="V1052"/>
      <c r="W1052"/>
      <c r="X1052"/>
      <c r="Y1052"/>
      <c r="Z1052"/>
      <c r="AA1052"/>
      <c r="AB1052"/>
      <c r="AC1052"/>
      <c r="AD1052"/>
      <c r="AE1052"/>
      <c r="AF1052"/>
      <c r="AG1052"/>
      <c r="AH1052"/>
      <c r="AI1052"/>
      <c r="AJ1052"/>
      <c r="AK1052"/>
      <c r="AL1052"/>
      <c r="AM1052"/>
      <c r="AN1052"/>
      <c r="AO1052"/>
      <c r="AP1052"/>
      <c r="AQ1052"/>
      <c r="AR1052"/>
      <c r="AS1052"/>
      <c r="AT1052"/>
      <c r="AU1052"/>
      <c r="AV1052"/>
      <c r="AW1052"/>
      <c r="AX1052"/>
      <c r="AY1052"/>
      <c r="AZ1052"/>
      <c r="BA1052"/>
      <c r="BB1052"/>
      <c r="BC1052"/>
      <c r="BD1052"/>
      <c r="BE1052"/>
      <c r="BF1052"/>
      <c r="BG1052"/>
      <c r="BH1052"/>
      <c r="BI1052"/>
      <c r="BJ1052"/>
      <c r="BK1052"/>
      <c r="BL1052"/>
      <c r="BM1052"/>
      <c r="BN1052"/>
      <c r="BO1052"/>
      <c r="BP1052"/>
      <c r="BQ1052"/>
      <c r="BR1052"/>
      <c r="BS1052"/>
      <c r="BT1052"/>
      <c r="BU1052"/>
      <c r="BV1052"/>
      <c r="BW1052"/>
    </row>
    <row r="1053" spans="1:75" s="42" customFormat="1">
      <c r="A1053" s="1" t="str">
        <f>IF(F1053&lt;&gt;"",1+MAX($A$1011:A1052),"")</f>
        <v/>
      </c>
      <c r="B1053" s="3"/>
      <c r="C1053" s="4"/>
      <c r="D1053" s="5"/>
      <c r="E1053"/>
      <c r="F1053" s="6"/>
      <c r="G1053"/>
      <c r="H1053" s="7"/>
      <c r="I1053" s="8"/>
      <c r="J1053" s="8"/>
      <c r="K1053" s="8"/>
      <c r="L1053"/>
      <c r="M1053"/>
      <c r="N1053" s="24"/>
      <c r="O1053" s="24"/>
      <c r="P1053"/>
      <c r="Q1053"/>
      <c r="R1053"/>
      <c r="S1053"/>
      <c r="T1053"/>
      <c r="U1053"/>
      <c r="V1053"/>
      <c r="W1053"/>
      <c r="X1053"/>
      <c r="Y1053"/>
      <c r="Z1053"/>
      <c r="AA1053"/>
      <c r="AB1053"/>
      <c r="AC1053"/>
      <c r="AD1053"/>
      <c r="AE1053"/>
      <c r="AF1053"/>
      <c r="AG1053"/>
      <c r="AH1053"/>
      <c r="AI1053"/>
      <c r="AJ1053"/>
      <c r="AK1053"/>
      <c r="AL1053"/>
      <c r="AM1053"/>
      <c r="AN1053"/>
      <c r="AO1053"/>
      <c r="AP1053"/>
      <c r="AQ1053"/>
      <c r="AR1053"/>
      <c r="AS1053"/>
      <c r="AT1053"/>
      <c r="AU1053"/>
      <c r="AV1053"/>
      <c r="AW1053"/>
      <c r="AX1053"/>
      <c r="AY1053"/>
      <c r="AZ1053"/>
      <c r="BA1053"/>
      <c r="BB1053"/>
      <c r="BC1053"/>
      <c r="BD1053"/>
      <c r="BE1053"/>
      <c r="BF1053"/>
      <c r="BG1053"/>
      <c r="BH1053"/>
      <c r="BI1053"/>
      <c r="BJ1053"/>
      <c r="BK1053"/>
      <c r="BL1053"/>
      <c r="BM1053"/>
      <c r="BN1053"/>
      <c r="BO1053"/>
      <c r="BP1053"/>
      <c r="BQ1053"/>
      <c r="BR1053"/>
      <c r="BS1053"/>
      <c r="BT1053"/>
      <c r="BU1053"/>
      <c r="BV1053"/>
      <c r="BW1053"/>
    </row>
    <row r="1054" spans="1:75" s="42" customFormat="1">
      <c r="A1054" s="1" t="str">
        <f>IF(F1054&lt;&gt;"",1+MAX($A$1011:A1053),"")</f>
        <v/>
      </c>
      <c r="B1054" s="3"/>
      <c r="C1054" s="4"/>
      <c r="D1054" s="5"/>
      <c r="E1054"/>
      <c r="F1054" s="6"/>
      <c r="G1054"/>
      <c r="H1054" s="7"/>
      <c r="I1054" s="8"/>
      <c r="J1054" s="8"/>
      <c r="K1054" s="8"/>
      <c r="L1054"/>
      <c r="M1054"/>
      <c r="N1054" s="24"/>
      <c r="O1054" s="24"/>
      <c r="P1054"/>
      <c r="Q1054"/>
      <c r="R1054"/>
      <c r="S1054"/>
      <c r="T1054"/>
      <c r="U1054"/>
      <c r="V1054"/>
      <c r="W1054"/>
      <c r="X1054"/>
      <c r="Y1054"/>
      <c r="Z1054"/>
      <c r="AA1054"/>
      <c r="AB1054"/>
      <c r="AC1054"/>
      <c r="AD1054"/>
      <c r="AE1054"/>
      <c r="AF1054"/>
      <c r="AG1054"/>
      <c r="AH1054"/>
      <c r="AI1054"/>
      <c r="AJ1054"/>
      <c r="AK1054"/>
      <c r="AL1054"/>
      <c r="AM1054"/>
      <c r="AN1054"/>
      <c r="AO1054"/>
      <c r="AP1054"/>
      <c r="AQ1054"/>
      <c r="AR1054"/>
      <c r="AS1054"/>
      <c r="AT1054"/>
      <c r="AU1054"/>
      <c r="AV1054"/>
      <c r="AW1054"/>
      <c r="AX1054"/>
      <c r="AY1054"/>
      <c r="AZ1054"/>
      <c r="BA1054"/>
      <c r="BB1054"/>
      <c r="BC1054"/>
      <c r="BD1054"/>
      <c r="BE1054"/>
      <c r="BF1054"/>
      <c r="BG1054"/>
      <c r="BH1054"/>
      <c r="BI1054"/>
      <c r="BJ1054"/>
      <c r="BK1054"/>
      <c r="BL1054"/>
      <c r="BM1054"/>
      <c r="BN1054"/>
      <c r="BO1054"/>
      <c r="BP1054"/>
      <c r="BQ1054"/>
      <c r="BR1054"/>
      <c r="BS1054"/>
      <c r="BT1054"/>
      <c r="BU1054"/>
      <c r="BV1054"/>
      <c r="BW1054"/>
    </row>
    <row r="1055" spans="1:75">
      <c r="A1055" s="1" t="str">
        <f>IF(F1055&lt;&gt;"",1+MAX($A$1011:A1054),"")</f>
        <v/>
      </c>
      <c r="N1055" s="24"/>
      <c r="O1055" s="24"/>
    </row>
    <row r="1056" spans="1:75">
      <c r="A1056" s="1" t="str">
        <f>IF(F1056&lt;&gt;"",1+MAX($A$1011:A1055),"")</f>
        <v/>
      </c>
      <c r="N1056" s="24"/>
      <c r="O1056" s="24"/>
    </row>
    <row r="1057" spans="1:15">
      <c r="A1057" s="1" t="str">
        <f>IF(F1057&lt;&gt;"",1+MAX($A$1011:A1056),"")</f>
        <v/>
      </c>
      <c r="N1057" s="24"/>
      <c r="O1057" s="24"/>
    </row>
    <row r="1058" spans="1:15">
      <c r="A1058" s="1" t="str">
        <f>IF(F1058&lt;&gt;"",1+MAX($A$1011:A1057),"")</f>
        <v/>
      </c>
      <c r="N1058" s="24"/>
      <c r="O1058" s="24"/>
    </row>
    <row r="1059" spans="1:15">
      <c r="A1059" s="1" t="str">
        <f>IF(F1059&lt;&gt;"",1+MAX($A$1011:A1058),"")</f>
        <v/>
      </c>
      <c r="N1059" s="24"/>
      <c r="O1059" s="24"/>
    </row>
    <row r="1060" spans="1:15">
      <c r="A1060" s="1" t="str">
        <f>IF(F1060&lt;&gt;"",1+MAX($A$1011:A1059),"")</f>
        <v/>
      </c>
      <c r="N1060" s="24"/>
      <c r="O1060" s="24"/>
    </row>
    <row r="1061" spans="1:15">
      <c r="A1061" s="1" t="str">
        <f>IF(F1061&lt;&gt;"",1+MAX($A$1011:A1060),"")</f>
        <v/>
      </c>
      <c r="N1061" s="24"/>
      <c r="O1061" s="24"/>
    </row>
    <row r="1062" spans="1:15">
      <c r="A1062" s="1" t="str">
        <f>IF(F1062&lt;&gt;"",1+MAX($A$1011:A1061),"")</f>
        <v/>
      </c>
      <c r="N1062" s="24"/>
      <c r="O1062" s="24"/>
    </row>
    <row r="1063" spans="1:15">
      <c r="A1063" s="1" t="str">
        <f>IF(F1063&lt;&gt;"",1+MAX($A$1011:A1062),"")</f>
        <v/>
      </c>
      <c r="N1063" s="24"/>
      <c r="O1063" s="24"/>
    </row>
    <row r="1064" spans="1:15">
      <c r="A1064" s="1" t="str">
        <f>IF(F1064&lt;&gt;"",1+MAX($A$1011:A1063),"")</f>
        <v/>
      </c>
      <c r="N1064" s="24"/>
      <c r="O1064" s="24"/>
    </row>
    <row r="1065" spans="1:15">
      <c r="A1065" s="1" t="str">
        <f>IF(F1065&lt;&gt;"",1+MAX($A$1011:A1064),"")</f>
        <v/>
      </c>
      <c r="N1065" s="24"/>
      <c r="O1065" s="24"/>
    </row>
    <row r="1066" spans="1:15">
      <c r="A1066" s="1" t="str">
        <f>IF(F1066&lt;&gt;"",1+MAX($A$1011:A1065),"")</f>
        <v/>
      </c>
      <c r="N1066" s="24"/>
      <c r="O1066" s="24"/>
    </row>
    <row r="1067" spans="1:15">
      <c r="A1067" s="1" t="str">
        <f>IF(F1067&lt;&gt;"",1+MAX($A$1011:A1066),"")</f>
        <v/>
      </c>
      <c r="N1067" s="24"/>
      <c r="O1067" s="24"/>
    </row>
    <row r="1068" spans="1:15">
      <c r="A1068" s="1" t="str">
        <f>IF(F1068&lt;&gt;"",1+MAX($A$1011:A1067),"")</f>
        <v/>
      </c>
      <c r="N1068" s="24"/>
      <c r="O1068" s="24"/>
    </row>
    <row r="1069" spans="1:15">
      <c r="A1069" s="1" t="str">
        <f>IF(F1069&lt;&gt;"",1+MAX($A$1011:A1068),"")</f>
        <v/>
      </c>
      <c r="N1069" s="24"/>
      <c r="O1069" s="24"/>
    </row>
    <row r="1070" spans="1:15">
      <c r="A1070" s="1" t="str">
        <f>IF(F1070&lt;&gt;"",1+MAX($A$1011:A1069),"")</f>
        <v/>
      </c>
      <c r="N1070" s="24"/>
      <c r="O1070" s="24"/>
    </row>
    <row r="1071" spans="1:15">
      <c r="A1071" s="1" t="str">
        <f>IF(F1071&lt;&gt;"",1+MAX($A$1011:A1070),"")</f>
        <v/>
      </c>
      <c r="N1071" s="24"/>
      <c r="O1071" s="24"/>
    </row>
    <row r="1072" spans="1:15">
      <c r="A1072" s="1" t="str">
        <f>IF(F1072&lt;&gt;"",1+MAX($A$1011:A1071),"")</f>
        <v/>
      </c>
      <c r="N1072" s="24"/>
      <c r="O1072" s="24"/>
    </row>
    <row r="1073" spans="1:15">
      <c r="A1073" s="1" t="str">
        <f>IF(F1073&lt;&gt;"",1+MAX($A$1011:A1072),"")</f>
        <v/>
      </c>
      <c r="N1073" s="24"/>
      <c r="O1073" s="24"/>
    </row>
    <row r="1074" spans="1:15">
      <c r="A1074" s="1" t="str">
        <f>IF(F1074&lt;&gt;"",1+MAX($A$1011:A1073),"")</f>
        <v/>
      </c>
      <c r="N1074" s="24"/>
      <c r="O1074" s="24"/>
    </row>
    <row r="1075" spans="1:15">
      <c r="A1075" s="1" t="str">
        <f>IF(F1075&lt;&gt;"",1+MAX($A$1011:A1074),"")</f>
        <v/>
      </c>
      <c r="N1075" s="24"/>
      <c r="O1075" s="24"/>
    </row>
    <row r="1076" spans="1:15">
      <c r="A1076" s="1" t="str">
        <f>IF(F1076&lt;&gt;"",1+MAX($A$1011:A1075),"")</f>
        <v/>
      </c>
      <c r="N1076" s="24"/>
      <c r="O1076" s="24"/>
    </row>
    <row r="1077" spans="1:15">
      <c r="A1077" s="1" t="str">
        <f>IF(F1077&lt;&gt;"",1+MAX($A$1011:A1076),"")</f>
        <v/>
      </c>
      <c r="N1077" s="24"/>
      <c r="O1077" s="24"/>
    </row>
    <row r="1078" spans="1:15">
      <c r="A1078" s="1" t="str">
        <f>IF(F1078&lt;&gt;"",1+MAX($A$1011:A1077),"")</f>
        <v/>
      </c>
      <c r="N1078" s="24"/>
      <c r="O1078" s="24"/>
    </row>
    <row r="1079" spans="1:15">
      <c r="A1079" s="1" t="str">
        <f>IF(F1079&lt;&gt;"",1+MAX($A$1011:A1078),"")</f>
        <v/>
      </c>
      <c r="N1079" s="24"/>
      <c r="O1079" s="24"/>
    </row>
    <row r="1080" spans="1:15">
      <c r="A1080" s="1" t="str">
        <f>IF(F1080&lt;&gt;"",1+MAX($A$1011:A1079),"")</f>
        <v/>
      </c>
      <c r="N1080" s="24"/>
      <c r="O1080" s="24"/>
    </row>
    <row r="1081" spans="1:15">
      <c r="A1081" s="1" t="str">
        <f>IF(F1081&lt;&gt;"",1+MAX($A$1011:A1080),"")</f>
        <v/>
      </c>
      <c r="N1081" s="24"/>
      <c r="O1081" s="24"/>
    </row>
    <row r="1082" spans="1:15">
      <c r="A1082" s="1" t="str">
        <f>IF(F1082&lt;&gt;"",1+MAX($A$1011:A1081),"")</f>
        <v/>
      </c>
      <c r="N1082" s="24"/>
      <c r="O1082" s="24"/>
    </row>
    <row r="1083" spans="1:15">
      <c r="A1083" s="1" t="str">
        <f>IF(F1083&lt;&gt;"",1+MAX($A$1011:A1082),"")</f>
        <v/>
      </c>
      <c r="N1083" s="24"/>
      <c r="O1083" s="24"/>
    </row>
    <row r="1084" spans="1:15">
      <c r="A1084" s="1" t="str">
        <f>IF(F1084&lt;&gt;"",1+MAX($A$1011:A1083),"")</f>
        <v/>
      </c>
      <c r="N1084" s="24"/>
      <c r="O1084" s="24"/>
    </row>
    <row r="1085" spans="1:15">
      <c r="A1085" s="1" t="str">
        <f>IF(F1085&lt;&gt;"",1+MAX($A$1011:A1084),"")</f>
        <v/>
      </c>
      <c r="N1085" s="24"/>
      <c r="O1085" s="24"/>
    </row>
    <row r="1086" spans="1:15">
      <c r="A1086" s="1" t="str">
        <f>IF(F1086&lt;&gt;"",1+MAX($A$1011:A1085),"")</f>
        <v/>
      </c>
      <c r="N1086" s="24"/>
      <c r="O1086" s="24"/>
    </row>
    <row r="1087" spans="1:15">
      <c r="A1087" s="1" t="str">
        <f>IF(F1087&lt;&gt;"",1+MAX($A$1011:A1086),"")</f>
        <v/>
      </c>
      <c r="N1087" s="24"/>
      <c r="O1087" s="24"/>
    </row>
    <row r="1088" spans="1:15">
      <c r="A1088" s="1" t="str">
        <f>IF(F1088&lt;&gt;"",1+MAX($A$1011:A1087),"")</f>
        <v/>
      </c>
      <c r="N1088" s="24"/>
      <c r="O1088" s="24"/>
    </row>
    <row r="1089" spans="1:15">
      <c r="A1089" s="1" t="str">
        <f>IF(F1089&lt;&gt;"",1+MAX($A$1011:A1088),"")</f>
        <v/>
      </c>
      <c r="N1089" s="24"/>
      <c r="O1089" s="24"/>
    </row>
    <row r="1090" spans="1:15">
      <c r="A1090" s="1" t="str">
        <f>IF(F1090&lt;&gt;"",1+MAX($A$1011:A1089),"")</f>
        <v/>
      </c>
      <c r="N1090" s="24"/>
      <c r="O1090" s="24"/>
    </row>
    <row r="1091" spans="1:15">
      <c r="A1091" s="1" t="str">
        <f>IF(F1091&lt;&gt;"",1+MAX($A$1011:A1090),"")</f>
        <v/>
      </c>
      <c r="N1091" s="24"/>
      <c r="O1091" s="24"/>
    </row>
    <row r="1092" spans="1:15">
      <c r="A1092" s="1" t="str">
        <f>IF(F1092&lt;&gt;"",1+MAX($A$1011:A1091),"")</f>
        <v/>
      </c>
      <c r="N1092" s="24"/>
      <c r="O1092" s="24"/>
    </row>
    <row r="1093" spans="1:15">
      <c r="A1093" s="1" t="str">
        <f>IF(F1093&lt;&gt;"",1+MAX($A$1011:A1092),"")</f>
        <v/>
      </c>
      <c r="N1093" s="24"/>
      <c r="O1093" s="24"/>
    </row>
    <row r="1094" spans="1:15">
      <c r="A1094" s="1" t="str">
        <f>IF(F1094&lt;&gt;"",1+MAX($A$1011:A1093),"")</f>
        <v/>
      </c>
      <c r="N1094" s="24"/>
      <c r="O1094" s="24"/>
    </row>
    <row r="1095" spans="1:15">
      <c r="A1095" s="1" t="str">
        <f>IF(F1095&lt;&gt;"",1+MAX($A$1011:A1094),"")</f>
        <v/>
      </c>
      <c r="N1095" s="24"/>
      <c r="O1095" s="24"/>
    </row>
    <row r="1096" spans="1:15">
      <c r="A1096" s="1" t="str">
        <f>IF(F1096&lt;&gt;"",1+MAX($A$1011:A1095),"")</f>
        <v/>
      </c>
      <c r="N1096" s="24"/>
      <c r="O1096" s="24"/>
    </row>
    <row r="1097" spans="1:15">
      <c r="A1097" s="1" t="str">
        <f>IF(F1097&lt;&gt;"",1+MAX($A$1011:A1096),"")</f>
        <v/>
      </c>
      <c r="N1097" s="24"/>
      <c r="O1097" s="24"/>
    </row>
    <row r="1098" spans="1:15">
      <c r="A1098" s="1" t="str">
        <f>IF(F1098&lt;&gt;"",1+MAX($A$1011:A1097),"")</f>
        <v/>
      </c>
      <c r="N1098" s="24"/>
      <c r="O1098" s="24"/>
    </row>
    <row r="1099" spans="1:15">
      <c r="A1099" s="1" t="str">
        <f>IF(F1099&lt;&gt;"",1+MAX($A$1011:A1098),"")</f>
        <v/>
      </c>
      <c r="N1099" s="24"/>
      <c r="O1099" s="24"/>
    </row>
    <row r="1100" spans="1:15">
      <c r="A1100" s="1" t="str">
        <f>IF(F1100&lt;&gt;"",1+MAX($A$1011:A1099),"")</f>
        <v/>
      </c>
      <c r="N1100" s="24"/>
      <c r="O1100" s="24"/>
    </row>
    <row r="1101" spans="1:15">
      <c r="A1101" s="1" t="str">
        <f>IF(F1101&lt;&gt;"",1+MAX($A$1011:A1100),"")</f>
        <v/>
      </c>
      <c r="N1101" s="24"/>
      <c r="O1101" s="24"/>
    </row>
    <row r="1102" spans="1:15">
      <c r="A1102" s="1" t="str">
        <f>IF(F1102&lt;&gt;"",1+MAX($A$1011:A1101),"")</f>
        <v/>
      </c>
      <c r="N1102" s="24"/>
      <c r="O1102" s="24"/>
    </row>
    <row r="1103" spans="1:15">
      <c r="A1103" s="1" t="str">
        <f>IF(F1103&lt;&gt;"",1+MAX($A$1011:A1102),"")</f>
        <v/>
      </c>
      <c r="N1103" s="24"/>
      <c r="O1103" s="24"/>
    </row>
    <row r="1104" spans="1:15">
      <c r="A1104" s="1" t="str">
        <f>IF(F1104&lt;&gt;"",1+MAX($A$1011:A1103),"")</f>
        <v/>
      </c>
      <c r="N1104" s="24"/>
      <c r="O1104" s="24"/>
    </row>
    <row r="1105" spans="1:15">
      <c r="A1105" s="1" t="str">
        <f>IF(F1105&lt;&gt;"",1+MAX($A$1011:A1104),"")</f>
        <v/>
      </c>
      <c r="N1105" s="24"/>
      <c r="O1105" s="24"/>
    </row>
    <row r="1106" spans="1:15">
      <c r="A1106" s="1" t="str">
        <f>IF(F1106&lt;&gt;"",1+MAX($A$1011:A1105),"")</f>
        <v/>
      </c>
      <c r="N1106" s="24"/>
      <c r="O1106" s="24"/>
    </row>
    <row r="1107" spans="1:15">
      <c r="A1107" s="1" t="str">
        <f>IF(F1107&lt;&gt;"",1+MAX($A$1011:A1106),"")</f>
        <v/>
      </c>
      <c r="N1107" s="24"/>
      <c r="O1107" s="24"/>
    </row>
    <row r="1108" spans="1:15">
      <c r="A1108" s="1" t="str">
        <f>IF(F1108&lt;&gt;"",1+MAX($A$1011:A1107),"")</f>
        <v/>
      </c>
      <c r="N1108" s="24"/>
      <c r="O1108" s="24"/>
    </row>
    <row r="1109" spans="1:15">
      <c r="A1109" s="1" t="str">
        <f>IF(F1109&lt;&gt;"",1+MAX($A$1011:A1108),"")</f>
        <v/>
      </c>
      <c r="N1109" s="24"/>
      <c r="O1109" s="24"/>
    </row>
    <row r="1110" spans="1:15">
      <c r="A1110" s="1" t="str">
        <f>IF(F1110&lt;&gt;"",1+MAX($A$1011:A1109),"")</f>
        <v/>
      </c>
      <c r="N1110" s="24"/>
      <c r="O1110" s="24"/>
    </row>
    <row r="1111" spans="1:15">
      <c r="A1111" s="1" t="str">
        <f>IF(F1111&lt;&gt;"",1+MAX($A$1011:A1110),"")</f>
        <v/>
      </c>
      <c r="N1111" s="24"/>
      <c r="O1111" s="24"/>
    </row>
    <row r="1112" spans="1:15">
      <c r="A1112" s="1" t="str">
        <f>IF(F1112&lt;&gt;"",1+MAX($A$1011:A1111),"")</f>
        <v/>
      </c>
      <c r="N1112" s="24"/>
      <c r="O1112" s="24"/>
    </row>
    <row r="1113" spans="1:15">
      <c r="A1113" s="1" t="str">
        <f>IF(F1113&lt;&gt;"",1+MAX($A$1011:A1112),"")</f>
        <v/>
      </c>
      <c r="N1113" s="24"/>
      <c r="O1113" s="24"/>
    </row>
    <row r="1114" spans="1:15">
      <c r="A1114" s="1" t="str">
        <f>IF(F1114&lt;&gt;"",1+MAX($A$1011:A1113),"")</f>
        <v/>
      </c>
      <c r="N1114" s="24"/>
      <c r="O1114" s="24"/>
    </row>
    <row r="1115" spans="1:15">
      <c r="A1115" s="1" t="str">
        <f>IF(F1115&lt;&gt;"",1+MAX($A$1011:A1114),"")</f>
        <v/>
      </c>
      <c r="N1115" s="24"/>
      <c r="O1115" s="24"/>
    </row>
    <row r="1116" spans="1:15">
      <c r="A1116" s="1" t="str">
        <f>IF(F1116&lt;&gt;"",1+MAX($A$1011:A1115),"")</f>
        <v/>
      </c>
      <c r="N1116" s="24"/>
      <c r="O1116" s="24"/>
    </row>
    <row r="1117" spans="1:15">
      <c r="A1117" s="1" t="str">
        <f>IF(F1117&lt;&gt;"",1+MAX($A$1011:A1116),"")</f>
        <v/>
      </c>
      <c r="N1117" s="24"/>
      <c r="O1117" s="24"/>
    </row>
    <row r="1118" spans="1:15">
      <c r="A1118" s="1" t="str">
        <f>IF(F1118&lt;&gt;"",1+MAX($A$1011:A1117),"")</f>
        <v/>
      </c>
      <c r="N1118" s="24"/>
      <c r="O1118" s="24"/>
    </row>
    <row r="1119" spans="1:15">
      <c r="A1119" s="1" t="str">
        <f>IF(F1119&lt;&gt;"",1+MAX($A$1011:A1118),"")</f>
        <v/>
      </c>
      <c r="N1119" s="24"/>
      <c r="O1119" s="24"/>
    </row>
    <row r="1120" spans="1:15">
      <c r="A1120" s="1" t="str">
        <f>IF(F1120&lt;&gt;"",1+MAX($A$1011:A1119),"")</f>
        <v/>
      </c>
      <c r="N1120" s="24"/>
      <c r="O1120" s="24"/>
    </row>
    <row r="1121" spans="1:15">
      <c r="A1121" s="1" t="str">
        <f>IF(F1121&lt;&gt;"",1+MAX($A$1011:A1120),"")</f>
        <v/>
      </c>
      <c r="N1121" s="24"/>
      <c r="O1121" s="24"/>
    </row>
    <row r="1122" spans="1:15">
      <c r="A1122" s="1" t="str">
        <f>IF(F1122&lt;&gt;"",1+MAX($A$1011:A1121),"")</f>
        <v/>
      </c>
      <c r="N1122" s="24"/>
      <c r="O1122" s="24"/>
    </row>
    <row r="1123" spans="1:15">
      <c r="A1123" s="1" t="str">
        <f>IF(F1123&lt;&gt;"",1+MAX($A$1011:A1122),"")</f>
        <v/>
      </c>
      <c r="N1123" s="24"/>
      <c r="O1123" s="24"/>
    </row>
    <row r="1124" spans="1:15">
      <c r="A1124" s="1" t="str">
        <f>IF(F1124&lt;&gt;"",1+MAX($A$1011:A1123),"")</f>
        <v/>
      </c>
      <c r="N1124" s="24"/>
      <c r="O1124" s="24"/>
    </row>
    <row r="1125" spans="1:15">
      <c r="A1125" s="1" t="str">
        <f>IF(F1125&lt;&gt;"",1+MAX($A$1011:A1124),"")</f>
        <v/>
      </c>
      <c r="N1125" s="24"/>
      <c r="O1125" s="24"/>
    </row>
    <row r="1126" spans="1:15">
      <c r="A1126" s="1" t="str">
        <f>IF(F1126&lt;&gt;"",1+MAX($A$1011:A1125),"")</f>
        <v/>
      </c>
      <c r="N1126" s="24"/>
      <c r="O1126" s="24"/>
    </row>
    <row r="1127" spans="1:15">
      <c r="A1127" s="1" t="str">
        <f>IF(F1127&lt;&gt;"",1+MAX($A$1011:A1126),"")</f>
        <v/>
      </c>
      <c r="N1127" s="24"/>
      <c r="O1127" s="24"/>
    </row>
    <row r="1128" spans="1:15">
      <c r="A1128" s="1" t="str">
        <f>IF(F1128&lt;&gt;"",1+MAX($A$1011:A1127),"")</f>
        <v/>
      </c>
      <c r="N1128" s="24"/>
      <c r="O1128" s="24"/>
    </row>
    <row r="1129" spans="1:15">
      <c r="A1129" s="1" t="str">
        <f>IF(F1129&lt;&gt;"",1+MAX($A$1011:A1128),"")</f>
        <v/>
      </c>
      <c r="N1129" s="24"/>
      <c r="O1129" s="24"/>
    </row>
    <row r="1130" spans="1:15">
      <c r="A1130" s="1" t="str">
        <f>IF(F1130&lt;&gt;"",1+MAX($A$1011:A1129),"")</f>
        <v/>
      </c>
      <c r="N1130" s="24"/>
      <c r="O1130" s="24"/>
    </row>
    <row r="1131" spans="1:15">
      <c r="A1131" s="1" t="str">
        <f>IF(F1131&lt;&gt;"",1+MAX($A$1011:A1130),"")</f>
        <v/>
      </c>
      <c r="N1131" s="24"/>
      <c r="O1131" s="24"/>
    </row>
    <row r="1132" spans="1:15">
      <c r="A1132" s="1" t="str">
        <f>IF(F1132&lt;&gt;"",1+MAX($A$1011:A1131),"")</f>
        <v/>
      </c>
      <c r="N1132" s="24"/>
      <c r="O1132" s="24"/>
    </row>
    <row r="1133" spans="1:15">
      <c r="A1133" s="1" t="str">
        <f>IF(F1133&lt;&gt;"",1+MAX($A$1011:A1132),"")</f>
        <v/>
      </c>
      <c r="N1133" s="24"/>
      <c r="O1133" s="24"/>
    </row>
    <row r="1134" spans="1:15">
      <c r="A1134" s="1" t="str">
        <f>IF(F1134&lt;&gt;"",1+MAX($A$1011:A1133),"")</f>
        <v/>
      </c>
      <c r="N1134" s="24"/>
      <c r="O1134" s="24"/>
    </row>
    <row r="1135" spans="1:15">
      <c r="A1135" s="1" t="str">
        <f>IF(F1135&lt;&gt;"",1+MAX($A$1011:A1134),"")</f>
        <v/>
      </c>
      <c r="N1135" s="24"/>
      <c r="O1135" s="24"/>
    </row>
    <row r="1136" spans="1:15">
      <c r="A1136" s="1" t="str">
        <f>IF(F1136&lt;&gt;"",1+MAX($A$1011:A1135),"")</f>
        <v/>
      </c>
      <c r="N1136" s="24"/>
      <c r="O1136" s="24"/>
    </row>
    <row r="1137" spans="1:15">
      <c r="A1137" s="1" t="str">
        <f>IF(F1137&lt;&gt;"",1+MAX($A$1011:A1136),"")</f>
        <v/>
      </c>
      <c r="N1137" s="24"/>
      <c r="O1137" s="24"/>
    </row>
    <row r="1138" spans="1:15">
      <c r="A1138" s="1" t="str">
        <f>IF(F1138&lt;&gt;"",1+MAX($A$1011:A1137),"")</f>
        <v/>
      </c>
      <c r="N1138" s="24"/>
      <c r="O1138" s="24"/>
    </row>
    <row r="1139" spans="1:15">
      <c r="A1139" s="1" t="str">
        <f>IF(F1139&lt;&gt;"",1+MAX($A$1011:A1138),"")</f>
        <v/>
      </c>
      <c r="N1139" s="24"/>
      <c r="O1139" s="24"/>
    </row>
    <row r="1140" spans="1:15">
      <c r="A1140" s="1" t="str">
        <f>IF(F1140&lt;&gt;"",1+MAX($A$1011:A1139),"")</f>
        <v/>
      </c>
      <c r="N1140" s="24"/>
      <c r="O1140" s="24"/>
    </row>
    <row r="1141" spans="1:15">
      <c r="A1141" s="1" t="str">
        <f>IF(F1141&lt;&gt;"",1+MAX($A$1011:A1140),"")</f>
        <v/>
      </c>
      <c r="N1141" s="24"/>
      <c r="O1141" s="24"/>
    </row>
    <row r="1142" spans="1:15">
      <c r="A1142" s="1" t="str">
        <f>IF(F1142&lt;&gt;"",1+MAX($A$1011:A1141),"")</f>
        <v/>
      </c>
      <c r="N1142" s="24"/>
      <c r="O1142" s="24"/>
    </row>
    <row r="1143" spans="1:15">
      <c r="A1143" s="1" t="str">
        <f>IF(F1143&lt;&gt;"",1+MAX($A$1011:A1142),"")</f>
        <v/>
      </c>
      <c r="N1143" s="24"/>
      <c r="O1143" s="24"/>
    </row>
    <row r="1144" spans="1:15">
      <c r="A1144" s="1" t="str">
        <f>IF(F1144&lt;&gt;"",1+MAX($A$1011:A1143),"")</f>
        <v/>
      </c>
      <c r="N1144" s="24"/>
      <c r="O1144" s="24"/>
    </row>
    <row r="1145" spans="1:15">
      <c r="A1145" s="1" t="str">
        <f>IF(F1145&lt;&gt;"",1+MAX($A$1011:A1144),"")</f>
        <v/>
      </c>
      <c r="N1145" s="24"/>
      <c r="O1145" s="24"/>
    </row>
    <row r="1146" spans="1:15">
      <c r="A1146" s="1" t="str">
        <f>IF(F1146&lt;&gt;"",1+MAX($A$1011:A1145),"")</f>
        <v/>
      </c>
      <c r="N1146" s="24"/>
      <c r="O1146" s="24"/>
    </row>
    <row r="1147" spans="1:15">
      <c r="A1147" s="1" t="str">
        <f>IF(F1147&lt;&gt;"",1+MAX($A$1011:A1146),"")</f>
        <v/>
      </c>
      <c r="N1147" s="24"/>
      <c r="O1147" s="24"/>
    </row>
    <row r="1148" spans="1:15">
      <c r="A1148" s="1" t="str">
        <f>IF(F1148&lt;&gt;"",1+MAX($A$1011:A1147),"")</f>
        <v/>
      </c>
      <c r="N1148" s="24"/>
      <c r="O1148" s="24"/>
    </row>
    <row r="1149" spans="1:15">
      <c r="A1149" s="1" t="str">
        <f>IF(F1149&lt;&gt;"",1+MAX($A$1011:A1148),"")</f>
        <v/>
      </c>
      <c r="N1149" s="24"/>
      <c r="O1149" s="24"/>
    </row>
    <row r="1150" spans="1:15">
      <c r="A1150" s="1" t="str">
        <f>IF(F1150&lt;&gt;"",1+MAX($A$1011:A1149),"")</f>
        <v/>
      </c>
      <c r="N1150" s="24"/>
      <c r="O1150" s="24"/>
    </row>
    <row r="1151" spans="1:15">
      <c r="A1151" s="1" t="str">
        <f>IF(F1151&lt;&gt;"",1+MAX($A$1011:A1150),"")</f>
        <v/>
      </c>
      <c r="N1151" s="24"/>
      <c r="O1151" s="24"/>
    </row>
    <row r="1152" spans="1:15">
      <c r="A1152" s="1" t="str">
        <f>IF(F1152&lt;&gt;"",1+MAX($A$1011:A1151),"")</f>
        <v/>
      </c>
      <c r="N1152" s="24"/>
      <c r="O1152" s="24"/>
    </row>
    <row r="1153" spans="1:15">
      <c r="A1153" s="1" t="str">
        <f>IF(F1153&lt;&gt;"",1+MAX($A$1011:A1152),"")</f>
        <v/>
      </c>
      <c r="N1153" s="24"/>
      <c r="O1153" s="24"/>
    </row>
    <row r="1154" spans="1:15">
      <c r="A1154" s="1" t="str">
        <f>IF(F1154&lt;&gt;"",1+MAX($A$1011:A1153),"")</f>
        <v/>
      </c>
      <c r="N1154" s="24"/>
      <c r="O1154" s="24"/>
    </row>
    <row r="1155" spans="1:15">
      <c r="A1155" s="1" t="str">
        <f>IF(F1155&lt;&gt;"",1+MAX($A$1011:A1154),"")</f>
        <v/>
      </c>
      <c r="N1155" s="24"/>
      <c r="O1155" s="24"/>
    </row>
    <row r="1156" spans="1:15">
      <c r="A1156" s="1" t="str">
        <f>IF(F1156&lt;&gt;"",1+MAX($A$1011:A1155),"")</f>
        <v/>
      </c>
      <c r="N1156" s="24"/>
      <c r="O1156" s="24"/>
    </row>
    <row r="1157" spans="1:15">
      <c r="A1157" s="1" t="str">
        <f>IF(F1157&lt;&gt;"",1+MAX($A$1011:A1156),"")</f>
        <v/>
      </c>
      <c r="N1157" s="24"/>
      <c r="O1157" s="24"/>
    </row>
    <row r="1158" spans="1:15">
      <c r="A1158" s="1" t="str">
        <f>IF(F1158&lt;&gt;"",1+MAX($A$1011:A1157),"")</f>
        <v/>
      </c>
      <c r="N1158" s="24"/>
      <c r="O1158" s="24"/>
    </row>
    <row r="1159" spans="1:15">
      <c r="A1159" s="1" t="str">
        <f>IF(F1159&lt;&gt;"",1+MAX($A$1011:A1158),"")</f>
        <v/>
      </c>
      <c r="N1159" s="24"/>
      <c r="O1159" s="24"/>
    </row>
    <row r="1160" spans="1:15">
      <c r="A1160" s="1" t="str">
        <f>IF(F1160&lt;&gt;"",1+MAX($A$1011:A1159),"")</f>
        <v/>
      </c>
      <c r="N1160" s="24"/>
      <c r="O1160" s="24"/>
    </row>
    <row r="1161" spans="1:15">
      <c r="A1161" s="1" t="str">
        <f>IF(F1161&lt;&gt;"",1+MAX($A$1011:A1160),"")</f>
        <v/>
      </c>
      <c r="N1161" s="24"/>
      <c r="O1161" s="24"/>
    </row>
    <row r="1162" spans="1:15">
      <c r="A1162" s="1" t="str">
        <f>IF(F1162&lt;&gt;"",1+MAX($A$1011:A1161),"")</f>
        <v/>
      </c>
      <c r="N1162" s="24"/>
      <c r="O1162" s="24"/>
    </row>
    <row r="1163" spans="1:15">
      <c r="A1163" s="1" t="str">
        <f>IF(F1163&lt;&gt;"",1+MAX($A$1011:A1162),"")</f>
        <v/>
      </c>
      <c r="N1163" s="24"/>
      <c r="O1163" s="24"/>
    </row>
    <row r="1164" spans="1:15">
      <c r="A1164" s="1" t="str">
        <f>IF(F1164&lt;&gt;"",1+MAX($A$1011:A1163),"")</f>
        <v/>
      </c>
      <c r="N1164" s="24"/>
      <c r="O1164" s="24"/>
    </row>
    <row r="1165" spans="1:15">
      <c r="A1165" s="1" t="str">
        <f>IF(F1165&lt;&gt;"",1+MAX($A$1011:A1164),"")</f>
        <v/>
      </c>
      <c r="N1165" s="24"/>
      <c r="O1165" s="24"/>
    </row>
    <row r="1166" spans="1:15">
      <c r="A1166" s="1" t="str">
        <f>IF(F1166&lt;&gt;"",1+MAX($A$1011:A1165),"")</f>
        <v/>
      </c>
      <c r="N1166" s="24"/>
      <c r="O1166" s="24"/>
    </row>
    <row r="1167" spans="1:15">
      <c r="A1167" s="1" t="str">
        <f>IF(F1167&lt;&gt;"",1+MAX($A$1011:A1166),"")</f>
        <v/>
      </c>
      <c r="N1167" s="24"/>
      <c r="O1167" s="24"/>
    </row>
    <row r="1168" spans="1:15">
      <c r="A1168" s="1" t="str">
        <f>IF(F1168&lt;&gt;"",1+MAX($A$1011:A1167),"")</f>
        <v/>
      </c>
      <c r="N1168" s="24"/>
      <c r="O1168" s="24"/>
    </row>
    <row r="1169" spans="1:15">
      <c r="A1169" s="1" t="str">
        <f>IF(F1169&lt;&gt;"",1+MAX($A$1011:A1168),"")</f>
        <v/>
      </c>
      <c r="N1169" s="24"/>
      <c r="O1169" s="24"/>
    </row>
    <row r="1170" spans="1:15">
      <c r="A1170" s="1" t="str">
        <f>IF(F1170&lt;&gt;"",1+MAX($A$1011:A1169),"")</f>
        <v/>
      </c>
      <c r="N1170" s="24"/>
      <c r="O1170" s="24"/>
    </row>
    <row r="1171" spans="1:15">
      <c r="N1171" s="24"/>
      <c r="O1171" s="24"/>
    </row>
    <row r="1172" spans="1:15">
      <c r="N1172" s="24"/>
      <c r="O1172" s="24"/>
    </row>
    <row r="1173" spans="1:15">
      <c r="N1173" s="24"/>
      <c r="O1173" s="24"/>
    </row>
    <row r="1174" spans="1:15">
      <c r="N1174" s="24"/>
      <c r="O1174" s="24"/>
    </row>
    <row r="1175" spans="1:15">
      <c r="N1175" s="24"/>
      <c r="O1175" s="24"/>
    </row>
    <row r="1176" spans="1:15">
      <c r="N1176" s="24"/>
      <c r="O1176" s="24"/>
    </row>
    <row r="1177" spans="1:15">
      <c r="N1177" s="24"/>
      <c r="O1177" s="24"/>
    </row>
    <row r="1178" spans="1:15">
      <c r="N1178" s="24"/>
      <c r="O1178" s="24"/>
    </row>
    <row r="1179" spans="1:15">
      <c r="N1179" s="24"/>
      <c r="O1179" s="24"/>
    </row>
    <row r="1180" spans="1:15">
      <c r="N1180" s="24"/>
      <c r="O1180" s="24"/>
    </row>
    <row r="1181" spans="1:15">
      <c r="N1181" s="24"/>
      <c r="O1181" s="24"/>
    </row>
    <row r="1182" spans="1:15">
      <c r="N1182" s="24"/>
      <c r="O1182" s="24"/>
    </row>
    <row r="1183" spans="1:15">
      <c r="N1183" s="24"/>
      <c r="O1183" s="24"/>
    </row>
    <row r="1184" spans="1:15">
      <c r="N1184" s="24"/>
      <c r="O1184" s="24"/>
    </row>
    <row r="1185" spans="14:15">
      <c r="N1185" s="24"/>
      <c r="O1185" s="24"/>
    </row>
    <row r="1186" spans="14:15">
      <c r="N1186" s="24"/>
      <c r="O1186" s="24"/>
    </row>
    <row r="1187" spans="14:15">
      <c r="N1187" s="24"/>
      <c r="O1187" s="24"/>
    </row>
    <row r="1188" spans="14:15">
      <c r="N1188" s="24"/>
      <c r="O1188" s="24"/>
    </row>
    <row r="1189" spans="14:15">
      <c r="N1189" s="24"/>
      <c r="O1189" s="24"/>
    </row>
    <row r="1190" spans="14:15">
      <c r="N1190" s="24"/>
      <c r="O1190" s="24"/>
    </row>
    <row r="1191" spans="14:15">
      <c r="N1191" s="24"/>
      <c r="O1191" s="24"/>
    </row>
    <row r="1192" spans="14:15">
      <c r="N1192" s="24"/>
      <c r="O1192" s="24"/>
    </row>
    <row r="1193" spans="14:15">
      <c r="N1193" s="24"/>
      <c r="O1193" s="24"/>
    </row>
    <row r="1194" spans="14:15">
      <c r="N1194" s="24"/>
      <c r="O1194" s="24"/>
    </row>
    <row r="1195" spans="14:15">
      <c r="N1195" s="24"/>
      <c r="O1195" s="24"/>
    </row>
    <row r="1196" spans="14:15">
      <c r="N1196" s="24"/>
      <c r="O1196" s="24"/>
    </row>
    <row r="1197" spans="14:15">
      <c r="N1197" s="24"/>
      <c r="O1197" s="24"/>
    </row>
    <row r="1198" spans="14:15">
      <c r="N1198" s="24"/>
      <c r="O1198" s="24"/>
    </row>
    <row r="1199" spans="14:15">
      <c r="N1199" s="24"/>
      <c r="O1199" s="24"/>
    </row>
    <row r="1200" spans="14:15">
      <c r="N1200" s="24"/>
      <c r="O1200" s="24"/>
    </row>
    <row r="1201" spans="14:15">
      <c r="N1201" s="24"/>
      <c r="O1201" s="24"/>
    </row>
    <row r="1202" spans="14:15">
      <c r="N1202" s="24"/>
      <c r="O1202" s="24"/>
    </row>
    <row r="1203" spans="14:15">
      <c r="N1203" s="24"/>
      <c r="O1203" s="24"/>
    </row>
    <row r="1204" spans="14:15">
      <c r="N1204" s="24"/>
      <c r="O1204" s="24"/>
    </row>
    <row r="1205" spans="14:15">
      <c r="N1205" s="24"/>
      <c r="O1205" s="24"/>
    </row>
    <row r="1206" spans="14:15">
      <c r="N1206" s="24"/>
      <c r="O1206" s="24"/>
    </row>
    <row r="1207" spans="14:15">
      <c r="N1207" s="24"/>
      <c r="O1207" s="24"/>
    </row>
    <row r="1208" spans="14:15">
      <c r="N1208" s="24"/>
      <c r="O1208" s="24"/>
    </row>
    <row r="1209" spans="14:15">
      <c r="N1209" s="24"/>
      <c r="O1209" s="24"/>
    </row>
    <row r="1210" spans="14:15">
      <c r="N1210" s="24"/>
      <c r="O1210" s="24"/>
    </row>
    <row r="1211" spans="14:15">
      <c r="N1211" s="24"/>
      <c r="O1211" s="24"/>
    </row>
    <row r="1212" spans="14:15">
      <c r="N1212" s="24"/>
      <c r="O1212" s="24"/>
    </row>
    <row r="1213" spans="14:15">
      <c r="N1213" s="24"/>
      <c r="O1213" s="24"/>
    </row>
    <row r="1214" spans="14:15">
      <c r="N1214" s="24"/>
      <c r="O1214" s="24"/>
    </row>
    <row r="1215" spans="14:15">
      <c r="N1215" s="24"/>
      <c r="O1215" s="24"/>
    </row>
    <row r="1216" spans="14:15">
      <c r="N1216" s="24"/>
      <c r="O1216" s="24"/>
    </row>
    <row r="1217" spans="14:15">
      <c r="N1217" s="24"/>
      <c r="O1217" s="24"/>
    </row>
    <row r="1218" spans="14:15">
      <c r="N1218" s="24"/>
      <c r="O1218" s="24"/>
    </row>
    <row r="1219" spans="14:15">
      <c r="N1219" s="24"/>
      <c r="O1219" s="24"/>
    </row>
    <row r="1220" spans="14:15">
      <c r="N1220" s="24"/>
      <c r="O1220" s="24"/>
    </row>
    <row r="1221" spans="14:15">
      <c r="N1221" s="24"/>
      <c r="O1221" s="24"/>
    </row>
    <row r="1222" spans="14:15">
      <c r="N1222" s="24"/>
      <c r="O1222" s="24"/>
    </row>
    <row r="1223" spans="14:15">
      <c r="N1223" s="24"/>
      <c r="O1223" s="24"/>
    </row>
    <row r="1224" spans="14:15">
      <c r="N1224" s="24"/>
      <c r="O1224" s="24"/>
    </row>
    <row r="1225" spans="14:15">
      <c r="N1225" s="24"/>
      <c r="O1225" s="24"/>
    </row>
    <row r="1226" spans="14:15">
      <c r="N1226" s="24"/>
      <c r="O1226" s="24"/>
    </row>
    <row r="1227" spans="14:15">
      <c r="N1227" s="24"/>
      <c r="O1227" s="24"/>
    </row>
    <row r="1228" spans="14:15">
      <c r="N1228" s="24"/>
      <c r="O1228" s="24"/>
    </row>
    <row r="1229" spans="14:15">
      <c r="N1229" s="24"/>
      <c r="O1229" s="24"/>
    </row>
    <row r="1230" spans="14:15">
      <c r="N1230" s="24"/>
      <c r="O1230" s="24"/>
    </row>
    <row r="1231" spans="14:15">
      <c r="N1231" s="24"/>
      <c r="O1231" s="24"/>
    </row>
    <row r="1232" spans="14:15">
      <c r="N1232" s="24"/>
      <c r="O1232" s="24"/>
    </row>
    <row r="1233" spans="14:15">
      <c r="N1233" s="24"/>
      <c r="O1233" s="24"/>
    </row>
    <row r="1234" spans="14:15">
      <c r="N1234" s="24"/>
      <c r="O1234" s="24"/>
    </row>
    <row r="1235" spans="14:15">
      <c r="N1235" s="24"/>
      <c r="O1235" s="24"/>
    </row>
    <row r="1236" spans="14:15">
      <c r="N1236" s="24"/>
      <c r="O1236" s="24"/>
    </row>
    <row r="1237" spans="14:15">
      <c r="N1237" s="24"/>
      <c r="O1237" s="24"/>
    </row>
    <row r="1238" spans="14:15">
      <c r="N1238" s="24"/>
      <c r="O1238" s="24"/>
    </row>
    <row r="1239" spans="14:15">
      <c r="N1239" s="24"/>
      <c r="O1239" s="24"/>
    </row>
    <row r="1240" spans="14:15">
      <c r="N1240" s="24"/>
      <c r="O1240" s="24"/>
    </row>
    <row r="1241" spans="14:15">
      <c r="N1241" s="24"/>
      <c r="O1241" s="24"/>
    </row>
    <row r="1242" spans="14:15">
      <c r="N1242" s="24"/>
      <c r="O1242" s="24"/>
    </row>
    <row r="1243" spans="14:15">
      <c r="N1243" s="24"/>
      <c r="O1243" s="24"/>
    </row>
    <row r="1244" spans="14:15">
      <c r="N1244" s="24"/>
      <c r="O1244" s="24"/>
    </row>
    <row r="1245" spans="14:15">
      <c r="N1245" s="24"/>
      <c r="O1245" s="24"/>
    </row>
    <row r="1246" spans="14:15">
      <c r="N1246" s="24"/>
      <c r="O1246" s="24"/>
    </row>
    <row r="1247" spans="14:15">
      <c r="N1247" s="24"/>
      <c r="O1247" s="24"/>
    </row>
    <row r="1248" spans="14:15">
      <c r="N1248" s="24"/>
      <c r="O1248" s="24"/>
    </row>
    <row r="1249" spans="14:15">
      <c r="N1249" s="24"/>
      <c r="O1249" s="24"/>
    </row>
    <row r="1250" spans="14:15">
      <c r="N1250" s="24"/>
      <c r="O1250" s="24"/>
    </row>
    <row r="1251" spans="14:15">
      <c r="N1251" s="24"/>
      <c r="O1251" s="24"/>
    </row>
    <row r="1252" spans="14:15">
      <c r="N1252" s="24"/>
      <c r="O1252" s="24"/>
    </row>
    <row r="1253" spans="14:15">
      <c r="N1253" s="24"/>
      <c r="O1253" s="24"/>
    </row>
    <row r="1254" spans="14:15">
      <c r="N1254" s="24"/>
      <c r="O1254" s="24"/>
    </row>
    <row r="1255" spans="14:15">
      <c r="N1255" s="24"/>
      <c r="O1255" s="24"/>
    </row>
    <row r="1256" spans="14:15">
      <c r="N1256" s="24"/>
      <c r="O1256" s="24"/>
    </row>
    <row r="1257" spans="14:15">
      <c r="N1257" s="24"/>
      <c r="O1257" s="24"/>
    </row>
    <row r="1258" spans="14:15">
      <c r="N1258" s="24"/>
      <c r="O1258" s="24"/>
    </row>
    <row r="1259" spans="14:15">
      <c r="N1259" s="24"/>
      <c r="O1259" s="24"/>
    </row>
    <row r="1260" spans="14:15">
      <c r="N1260" s="24"/>
      <c r="O1260" s="24"/>
    </row>
    <row r="1261" spans="14:15">
      <c r="N1261" s="24"/>
      <c r="O1261" s="24"/>
    </row>
    <row r="1262" spans="14:15">
      <c r="N1262" s="24"/>
      <c r="O1262" s="24"/>
    </row>
    <row r="1263" spans="14:15">
      <c r="N1263" s="24"/>
      <c r="O1263" s="24"/>
    </row>
    <row r="1264" spans="14:15">
      <c r="N1264" s="24"/>
      <c r="O1264" s="24"/>
    </row>
    <row r="1265" spans="14:15">
      <c r="N1265" s="24"/>
      <c r="O1265" s="24"/>
    </row>
    <row r="1266" spans="14:15">
      <c r="N1266" s="24"/>
      <c r="O1266" s="24"/>
    </row>
    <row r="1267" spans="14:15">
      <c r="N1267" s="24"/>
      <c r="O1267" s="24"/>
    </row>
    <row r="1268" spans="14:15">
      <c r="N1268" s="24"/>
      <c r="O1268" s="24"/>
    </row>
    <row r="1269" spans="14:15">
      <c r="N1269" s="24"/>
      <c r="O1269" s="24"/>
    </row>
    <row r="1270" spans="14:15">
      <c r="N1270" s="24"/>
      <c r="O1270" s="24"/>
    </row>
    <row r="1271" spans="14:15">
      <c r="N1271" s="24"/>
      <c r="O1271" s="24"/>
    </row>
    <row r="1272" spans="14:15">
      <c r="N1272" s="24"/>
      <c r="O1272" s="24"/>
    </row>
    <row r="1273" spans="14:15">
      <c r="N1273" s="24"/>
      <c r="O1273" s="24"/>
    </row>
    <row r="1274" spans="14:15">
      <c r="N1274" s="24"/>
      <c r="O1274" s="24"/>
    </row>
    <row r="1275" spans="14:15">
      <c r="N1275" s="24"/>
      <c r="O1275" s="24"/>
    </row>
    <row r="1276" spans="14:15">
      <c r="N1276" s="24"/>
      <c r="O1276" s="24"/>
    </row>
    <row r="1277" spans="14:15">
      <c r="N1277" s="24"/>
      <c r="O1277" s="24"/>
    </row>
    <row r="1278" spans="14:15">
      <c r="N1278" s="24"/>
      <c r="O1278" s="24"/>
    </row>
    <row r="1279" spans="14:15">
      <c r="N1279" s="24"/>
      <c r="O1279" s="24"/>
    </row>
    <row r="1280" spans="14:15">
      <c r="N1280" s="24"/>
      <c r="O1280" s="24"/>
    </row>
    <row r="1281" spans="14:15">
      <c r="N1281" s="24"/>
      <c r="O1281" s="24"/>
    </row>
    <row r="1282" spans="14:15">
      <c r="N1282" s="24"/>
      <c r="O1282" s="24"/>
    </row>
    <row r="1283" spans="14:15">
      <c r="N1283" s="24"/>
      <c r="O1283" s="24"/>
    </row>
    <row r="1284" spans="14:15">
      <c r="N1284" s="24"/>
      <c r="O1284" s="24"/>
    </row>
    <row r="1285" spans="14:15">
      <c r="N1285" s="24"/>
      <c r="O1285" s="24"/>
    </row>
    <row r="1286" spans="14:15">
      <c r="N1286" s="24"/>
      <c r="O1286" s="24"/>
    </row>
    <row r="1287" spans="14:15">
      <c r="N1287" s="24"/>
      <c r="O1287" s="24"/>
    </row>
    <row r="1288" spans="14:15">
      <c r="N1288" s="24"/>
      <c r="O1288" s="24"/>
    </row>
    <row r="1289" spans="14:15">
      <c r="N1289" s="24"/>
      <c r="O1289" s="24"/>
    </row>
    <row r="1290" spans="14:15">
      <c r="N1290" s="24"/>
      <c r="O1290" s="24"/>
    </row>
    <row r="1291" spans="14:15">
      <c r="N1291" s="24"/>
      <c r="O1291" s="24"/>
    </row>
    <row r="1292" spans="14:15">
      <c r="N1292" s="24"/>
      <c r="O1292" s="24"/>
    </row>
    <row r="1293" spans="14:15">
      <c r="N1293" s="24"/>
      <c r="O1293" s="24"/>
    </row>
    <row r="1294" spans="14:15">
      <c r="N1294" s="24"/>
      <c r="O1294" s="24"/>
    </row>
    <row r="1295" spans="14:15">
      <c r="N1295" s="24"/>
      <c r="O1295" s="24"/>
    </row>
    <row r="1296" spans="14:15">
      <c r="N1296" s="24"/>
      <c r="O1296" s="24"/>
    </row>
    <row r="1297" spans="14:15">
      <c r="N1297" s="24"/>
      <c r="O1297" s="24"/>
    </row>
    <row r="1298" spans="14:15">
      <c r="N1298" s="24"/>
      <c r="O1298" s="24"/>
    </row>
    <row r="1299" spans="14:15">
      <c r="N1299" s="24"/>
      <c r="O1299" s="24"/>
    </row>
    <row r="1300" spans="14:15">
      <c r="N1300" s="24"/>
      <c r="O1300" s="24"/>
    </row>
    <row r="1301" spans="14:15">
      <c r="N1301" s="24"/>
      <c r="O1301" s="24"/>
    </row>
    <row r="1302" spans="14:15">
      <c r="N1302" s="24"/>
      <c r="O1302" s="24"/>
    </row>
    <row r="1303" spans="14:15">
      <c r="N1303" s="24"/>
      <c r="O1303" s="24"/>
    </row>
    <row r="1304" spans="14:15">
      <c r="N1304" s="24"/>
      <c r="O1304" s="24"/>
    </row>
    <row r="1305" spans="14:15">
      <c r="N1305" s="24"/>
      <c r="O1305" s="24"/>
    </row>
    <row r="1306" spans="14:15">
      <c r="N1306" s="24"/>
      <c r="O1306" s="24"/>
    </row>
    <row r="1307" spans="14:15">
      <c r="N1307" s="24"/>
      <c r="O1307" s="24"/>
    </row>
    <row r="1308" spans="14:15">
      <c r="N1308" s="24"/>
      <c r="O1308" s="24"/>
    </row>
    <row r="1309" spans="14:15">
      <c r="N1309" s="24"/>
      <c r="O1309" s="24"/>
    </row>
    <row r="1310" spans="14:15">
      <c r="N1310" s="24"/>
      <c r="O1310" s="24"/>
    </row>
    <row r="1311" spans="14:15">
      <c r="N1311" s="24"/>
      <c r="O1311" s="24"/>
    </row>
    <row r="1312" spans="14:15">
      <c r="N1312" s="24"/>
      <c r="O1312" s="24"/>
    </row>
    <row r="1313" spans="14:15">
      <c r="N1313" s="24"/>
      <c r="O1313" s="24"/>
    </row>
    <row r="1314" spans="14:15">
      <c r="N1314" s="24"/>
      <c r="O1314" s="24"/>
    </row>
    <row r="1315" spans="14:15">
      <c r="N1315" s="24"/>
      <c r="O1315" s="24"/>
    </row>
    <row r="1316" spans="14:15">
      <c r="N1316" s="24"/>
      <c r="O1316" s="24"/>
    </row>
    <row r="1317" spans="14:15">
      <c r="N1317" s="24"/>
      <c r="O1317" s="24"/>
    </row>
    <row r="1318" spans="14:15">
      <c r="N1318" s="24"/>
      <c r="O1318" s="24"/>
    </row>
    <row r="1319" spans="14:15">
      <c r="N1319" s="24"/>
      <c r="O1319" s="24"/>
    </row>
    <row r="1320" spans="14:15">
      <c r="N1320" s="24"/>
      <c r="O1320" s="24"/>
    </row>
    <row r="1321" spans="14:15">
      <c r="N1321" s="24"/>
      <c r="O1321" s="24"/>
    </row>
    <row r="1322" spans="14:15">
      <c r="N1322" s="24"/>
      <c r="O1322" s="24"/>
    </row>
    <row r="1323" spans="14:15">
      <c r="N1323" s="24"/>
      <c r="O1323" s="24"/>
    </row>
    <row r="1324" spans="14:15">
      <c r="N1324" s="24"/>
      <c r="O1324" s="24"/>
    </row>
    <row r="1325" spans="14:15">
      <c r="N1325" s="24"/>
      <c r="O1325" s="24"/>
    </row>
    <row r="1326" spans="14:15">
      <c r="N1326" s="24"/>
      <c r="O1326" s="24"/>
    </row>
    <row r="1327" spans="14:15">
      <c r="N1327" s="24"/>
      <c r="O1327" s="24"/>
    </row>
    <row r="1328" spans="14:15">
      <c r="N1328" s="24"/>
      <c r="O1328" s="24"/>
    </row>
    <row r="1329" spans="14:15">
      <c r="N1329" s="24"/>
      <c r="O1329" s="24"/>
    </row>
    <row r="1330" spans="14:15">
      <c r="N1330" s="24"/>
      <c r="O1330" s="24"/>
    </row>
    <row r="1331" spans="14:15">
      <c r="N1331" s="24"/>
      <c r="O1331" s="24"/>
    </row>
    <row r="1332" spans="14:15">
      <c r="N1332" s="24"/>
      <c r="O1332" s="24"/>
    </row>
    <row r="1333" spans="14:15">
      <c r="N1333" s="24"/>
      <c r="O1333" s="24"/>
    </row>
    <row r="1334" spans="14:15">
      <c r="N1334" s="24"/>
      <c r="O1334" s="24"/>
    </row>
    <row r="1335" spans="14:15">
      <c r="N1335" s="24"/>
      <c r="O1335" s="24"/>
    </row>
    <row r="1336" spans="14:15">
      <c r="N1336" s="24"/>
      <c r="O1336" s="24"/>
    </row>
    <row r="1337" spans="14:15">
      <c r="N1337" s="24"/>
      <c r="O1337" s="24"/>
    </row>
    <row r="1338" spans="14:15">
      <c r="N1338" s="24"/>
      <c r="O1338" s="24"/>
    </row>
    <row r="1339" spans="14:15">
      <c r="N1339" s="24"/>
      <c r="O1339" s="24"/>
    </row>
    <row r="1340" spans="14:15">
      <c r="N1340" s="24"/>
      <c r="O1340" s="24"/>
    </row>
    <row r="1341" spans="14:15">
      <c r="N1341" s="24"/>
      <c r="O1341" s="24"/>
    </row>
    <row r="1342" spans="14:15">
      <c r="N1342" s="24"/>
      <c r="O1342" s="24"/>
    </row>
    <row r="1343" spans="14:15">
      <c r="N1343" s="24"/>
      <c r="O1343" s="24"/>
    </row>
    <row r="1344" spans="14:15">
      <c r="N1344" s="24"/>
      <c r="O1344" s="24"/>
    </row>
    <row r="1345" spans="14:15">
      <c r="N1345" s="24"/>
      <c r="O1345" s="24"/>
    </row>
    <row r="1346" spans="14:15">
      <c r="N1346" s="24"/>
      <c r="O1346" s="24"/>
    </row>
    <row r="1347" spans="14:15">
      <c r="N1347" s="24"/>
      <c r="O1347" s="24"/>
    </row>
    <row r="1348" spans="14:15">
      <c r="N1348" s="24"/>
      <c r="O1348" s="24"/>
    </row>
    <row r="1349" spans="14:15">
      <c r="N1349" s="24"/>
      <c r="O1349" s="24"/>
    </row>
    <row r="1350" spans="14:15">
      <c r="N1350" s="24"/>
      <c r="O1350" s="24"/>
    </row>
    <row r="1351" spans="14:15">
      <c r="N1351" s="24"/>
      <c r="O1351" s="24"/>
    </row>
    <row r="1352" spans="14:15">
      <c r="N1352" s="24"/>
      <c r="O1352" s="24"/>
    </row>
    <row r="1353" spans="14:15">
      <c r="N1353" s="24"/>
      <c r="O1353" s="24"/>
    </row>
    <row r="1354" spans="14:15">
      <c r="N1354" s="24"/>
      <c r="O1354" s="24"/>
    </row>
    <row r="1355" spans="14:15">
      <c r="N1355" s="24"/>
      <c r="O1355" s="24"/>
    </row>
    <row r="1356" spans="14:15">
      <c r="N1356" s="24"/>
      <c r="O1356" s="24"/>
    </row>
    <row r="1357" spans="14:15">
      <c r="N1357" s="24"/>
      <c r="O1357" s="24"/>
    </row>
  </sheetData>
  <mergeCells count="65">
    <mergeCell ref="B486:B490"/>
    <mergeCell ref="A994:O994"/>
    <mergeCell ref="B996:B1000"/>
    <mergeCell ref="B849:B954"/>
    <mergeCell ref="A311:O311"/>
    <mergeCell ref="B313:B379"/>
    <mergeCell ref="B383:B433"/>
    <mergeCell ref="A438:O438"/>
    <mergeCell ref="A451:O451"/>
    <mergeCell ref="B453:B459"/>
    <mergeCell ref="B463:B482"/>
    <mergeCell ref="A484:O484"/>
    <mergeCell ref="A847:O847"/>
    <mergeCell ref="A957:O957"/>
    <mergeCell ref="B959:B986"/>
    <mergeCell ref="A492:O492"/>
    <mergeCell ref="B182:B261"/>
    <mergeCell ref="A263:O263"/>
    <mergeCell ref="B265:B286"/>
    <mergeCell ref="B294:B300"/>
    <mergeCell ref="B308:B309"/>
    <mergeCell ref="B90:B133"/>
    <mergeCell ref="A168:O168"/>
    <mergeCell ref="B170:B181"/>
    <mergeCell ref="B990:B992"/>
    <mergeCell ref="A988:O988"/>
    <mergeCell ref="B134:B137"/>
    <mergeCell ref="A155:O155"/>
    <mergeCell ref="B157:B166"/>
    <mergeCell ref="A288:O288"/>
    <mergeCell ref="B290:B293"/>
    <mergeCell ref="B301:B302"/>
    <mergeCell ref="B303:B307"/>
    <mergeCell ref="A381:O381"/>
    <mergeCell ref="A461:O461"/>
    <mergeCell ref="B434:B436"/>
    <mergeCell ref="B440:B449"/>
    <mergeCell ref="A1:P1"/>
    <mergeCell ref="A2:B2"/>
    <mergeCell ref="D2:E2"/>
    <mergeCell ref="F2:I2"/>
    <mergeCell ref="A3:B3"/>
    <mergeCell ref="D3:E3"/>
    <mergeCell ref="F3:I3"/>
    <mergeCell ref="A7:O7"/>
    <mergeCell ref="A24:O24"/>
    <mergeCell ref="B26:B36"/>
    <mergeCell ref="B75:B89"/>
    <mergeCell ref="B37:B45"/>
    <mergeCell ref="A1003:C1003"/>
    <mergeCell ref="A1004:C1004"/>
    <mergeCell ref="K1004:P1004"/>
    <mergeCell ref="K1010:O1010"/>
    <mergeCell ref="A1005:C1005"/>
    <mergeCell ref="K1005:M1005"/>
    <mergeCell ref="K1006:M1006"/>
    <mergeCell ref="K1007:M1007"/>
    <mergeCell ref="K1008:M1008"/>
    <mergeCell ref="K1009:O1009"/>
    <mergeCell ref="A517:O517"/>
    <mergeCell ref="B519:B634"/>
    <mergeCell ref="A636:O636"/>
    <mergeCell ref="B638:B845"/>
    <mergeCell ref="A1002:C1002"/>
    <mergeCell ref="K1002:O1002"/>
  </mergeCells>
  <conditionalFormatting sqref="C329:C375">
    <cfRule type="duplicateValues" dxfId="3" priority="3"/>
  </conditionalFormatting>
  <conditionalFormatting sqref="C352:C375">
    <cfRule type="duplicateValues" dxfId="2" priority="4"/>
  </conditionalFormatting>
  <conditionalFormatting sqref="D375">
    <cfRule type="duplicateValues" dxfId="1" priority="1"/>
  </conditionalFormatting>
  <conditionalFormatting sqref="D375">
    <cfRule type="duplicateValues" dxfId="0" priority="2"/>
  </conditionalFormatting>
  <pageMargins left="0.7" right="0.7" top="0.75" bottom="0.75" header="0.3" footer="0.3"/>
  <pageSetup scale="31" fitToHeight="0" orientation="portrait" r:id="rId1"/>
  <ignoredErrors>
    <ignoredError sqref="A494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9108608-3178-4F41-A688-7F1890F59ADC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SUMMARY</vt:lpstr>
      <vt:lpstr>ESTIMATE</vt:lpstr>
      <vt:lpstr>ESTIMATE!Print_Area</vt:lpstr>
      <vt:lpstr>SUMMARY!Print_Area</vt:lpstr>
      <vt:lpstr>ESTIMATE!Print_Titles</vt:lpstr>
      <vt:lpstr>SUMMARY!Print_Titles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</cp:lastModifiedBy>
  <cp:lastPrinted>2020-09-10T21:20:00Z</cp:lastPrinted>
  <dcterms:created xsi:type="dcterms:W3CDTF">2018-05-17T19:16:00Z</dcterms:created>
  <dcterms:modified xsi:type="dcterms:W3CDTF">2024-01-11T13:47:26Z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ICV">
    <vt:lpwstr>0405DEA18B68449D8537BD939DD57EFC</vt:lpwstr>
  </property>
  <property fmtid="{D5CDD505-2E9C-101B-9397-08002B2CF9AE}" pid="4" name="KSOProductBuildVer">
    <vt:lpwstr>1033-11.2.0.10443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LinkedDataId">
    <vt:lpwstr>{39108608-3178-4F41-A688-7F1890F59ADC}</vt:lpwstr>
  </property>
</Properties>
</file>